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9200" windowHeight="8970" activeTab="0"/>
  </bookViews>
  <sheets>
    <sheet name="Final Copy" sheetId="1" r:id="rId1"/>
    <sheet name="Working Copy" sheetId="2" state="hidden" r:id="rId2"/>
    <sheet name="CPT Detail" sheetId="3" state="hidden" r:id="rId3"/>
    <sheet name="Sheet3" sheetId="4" state="hidden" r:id="rId4"/>
  </sheets>
  <definedNames>
    <definedName name="_xlnm.Print_Area" localSheetId="0">'Final Copy'!$A$4:$G$111</definedName>
    <definedName name="_xlnm.Print_Titles" localSheetId="0">'Final Copy'!$1:$3</definedName>
  </definedNames>
  <calcPr fullCalcOnLoad="1"/>
</workbook>
</file>

<file path=xl/sharedStrings.xml><?xml version="1.0" encoding="utf-8"?>
<sst xmlns="http://schemas.openxmlformats.org/spreadsheetml/2006/main" count="368" uniqueCount="84">
  <si>
    <t>Medical Condition (Episode Treatment Group)</t>
  </si>
  <si>
    <t>CPT Code</t>
  </si>
  <si>
    <t>Medical Service or Procedure</t>
  </si>
  <si>
    <t>Routine Exam</t>
  </si>
  <si>
    <t>Hyperlipidemia,other</t>
  </si>
  <si>
    <t>Hypertension</t>
  </si>
  <si>
    <t>Other minor orthopedic disorders - back</t>
  </si>
  <si>
    <t>Joint degeneration, localized-back, w/o surgery</t>
  </si>
  <si>
    <t>Isolated signs, symptoms &amp; non-specific diagnoses or conditions</t>
  </si>
  <si>
    <t>Diabetes, w/o surgery</t>
  </si>
  <si>
    <t>Obesity, w/o surgery</t>
  </si>
  <si>
    <t>Hypo-functioning thyroid gland, w/o surgery</t>
  </si>
  <si>
    <t>Acne</t>
  </si>
  <si>
    <t>Acute bronchitis</t>
  </si>
  <si>
    <t>Acute sinusitis, w/o surgery</t>
  </si>
  <si>
    <t>Chronic sinusitis, w/o surgery</t>
  </si>
  <si>
    <t>Tonsillitis, adenoiditis or pharyngitis,w/o surgery</t>
  </si>
  <si>
    <t>Otitis media, w/o surgery</t>
  </si>
  <si>
    <t>Otolaryngology diseases signs &amp; symptoms</t>
  </si>
  <si>
    <t>Routine inoculation</t>
  </si>
  <si>
    <t>Contraceptive management</t>
  </si>
  <si>
    <t>Gastroenterolgy diseases signs &amp; symptoms</t>
  </si>
  <si>
    <t>Fungal skin infection</t>
  </si>
  <si>
    <t>Mood disorder, depressed</t>
  </si>
  <si>
    <t>Other neuropsychological or behavioral disorders</t>
  </si>
  <si>
    <t>Visual disturbances, w/o surgery</t>
  </si>
  <si>
    <t>Cataract, w/o surgery</t>
  </si>
  <si>
    <t>Inflammatory eye disease, w/o surgery</t>
  </si>
  <si>
    <t>EST PREV VISIT, AGE 40-64</t>
  </si>
  <si>
    <t>EST PREV VISIT, AGE 1-4</t>
  </si>
  <si>
    <t>EST PREV VISIT, AGE 18-39</t>
  </si>
  <si>
    <t>EST PREV VISIT, AGE 5-11</t>
  </si>
  <si>
    <t>LIPID PANEL</t>
  </si>
  <si>
    <t>OFFICE/OUTPATIENT VISIT, EST LEVEL</t>
  </si>
  <si>
    <t>COMPREHENSIVE METABOLIC PANEL, CMP</t>
  </si>
  <si>
    <t>CHEST XRAY 2 VIEWS</t>
  </si>
  <si>
    <t>HEMOGLOBIN; GLYCATED</t>
  </si>
  <si>
    <t>ALBUMIN; URINE, MICROALBUMIN</t>
  </si>
  <si>
    <t>OFFICE/OUTPATIENT VISIT, NEW LEVEL</t>
  </si>
  <si>
    <t>AIRWAY INHALATION TREATMENT</t>
  </si>
  <si>
    <t>STREPTOCOCCUS, GROUP A</t>
  </si>
  <si>
    <t>BACTERIA CULTURE SCREEN</t>
  </si>
  <si>
    <t>CONTROL NOSEBLEED, ANTERIOR, SIMPLE</t>
  </si>
  <si>
    <t>TDAP VACCINE IM &gt; 7</t>
  </si>
  <si>
    <t>IMMUNIZATION ADMINISTRATION SINGLE</t>
  </si>
  <si>
    <t>HUMAN PAPILLOMA VIRUS VACCINE</t>
  </si>
  <si>
    <t>IUD INSERTION</t>
  </si>
  <si>
    <t>ULTRASOUND, TRANSVAGINAL</t>
  </si>
  <si>
    <t>DEBRIDE NAIL, 6 OR MORE</t>
  </si>
  <si>
    <t>EXCISION REMOVAL NAIL PART'L/COMPLE</t>
  </si>
  <si>
    <t>COMPREHENSIVE VISIT EST</t>
  </si>
  <si>
    <t>EYE EXAM NO REFRAC NEW</t>
  </si>
  <si>
    <t>REFRACTION FOR BEST VISION</t>
  </si>
  <si>
    <t>Current Price</t>
  </si>
  <si>
    <t>Median Price</t>
  </si>
  <si>
    <t>Medicare Allowable</t>
  </si>
  <si>
    <t>Ave Allowable Pmt</t>
  </si>
  <si>
    <t>Blue Cross</t>
  </si>
  <si>
    <t>Alliance</t>
  </si>
  <si>
    <t>Qty</t>
  </si>
  <si>
    <t>Dean</t>
  </si>
  <si>
    <t>EH</t>
  </si>
  <si>
    <t>Healtheos</t>
  </si>
  <si>
    <t>Phys Plus</t>
  </si>
  <si>
    <t>UHC</t>
  </si>
  <si>
    <t>Unity</t>
  </si>
  <si>
    <t>Fee Sch</t>
  </si>
  <si>
    <t>Comments</t>
  </si>
  <si>
    <t>will not include - used once in 5 months</t>
  </si>
  <si>
    <t>only volume is Med/MA - total of 5</t>
  </si>
  <si>
    <t>only volume is Med/MA - total of 6</t>
  </si>
  <si>
    <t>not in chargemaster</t>
  </si>
  <si>
    <t>no volumes</t>
  </si>
  <si>
    <t>low volume - 3 in last five months</t>
  </si>
  <si>
    <t>Probably done at the hospital</t>
  </si>
  <si>
    <t>71020TC</t>
  </si>
  <si>
    <t>will receive fee for prof fee</t>
  </si>
  <si>
    <t>not done in clinic</t>
  </si>
  <si>
    <t>no volume</t>
  </si>
  <si>
    <t>low volume - 2</t>
  </si>
  <si>
    <t>Ave payment</t>
  </si>
  <si>
    <t xml:space="preserve">Average Allowable </t>
  </si>
  <si>
    <t>Charges for Most Common Clinic Conditions Treated</t>
  </si>
  <si>
    <r>
      <t>Please note the charges listed below are NOT an actual price quote or an estimate of what you might expect to be charged for a particular condition.</t>
    </r>
    <r>
      <rPr>
        <b/>
        <sz val="12"/>
        <rFont val="Arial"/>
        <family val="2"/>
      </rPr>
      <t xml:space="preserve"> </t>
    </r>
    <r>
      <rPr>
        <sz val="12"/>
        <rFont val="Arial"/>
        <family val="2"/>
      </rPr>
      <t> The charges below are historical averages to help consumers compare prices from one facility to another.  These averages do not account for any complications or other medical problems which might affect care for this particular diagnosis. </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</si>
</sst>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quot;$&quot;#,##0.0"/>
    <numFmt numFmtId="167" formatCode="&quot;Yes&quot;;&quot;Yes&quot;;&quot;No&quot;"/>
    <numFmt numFmtId="168" formatCode="&quot;True&quot;;&quot;True&quot;;&quot;False&quot;"/>
    <numFmt numFmtId="169" formatCode="&quot;On&quot;;&quot;On&quot;;&quot;Off&quot;"/>
    <numFmt numFmtId="170" formatCode="[$€-2]\ #,##0.00_);[Red]\([$€-2]\ #,##0.00\)"/>
  </numFmts>
  <fonts count="10">
    <font>
      <sz val="10"/>
      <name val="Arial"/>
      <family val="0"/>
    </font>
    <font>
      <sz val="8"/>
      <name val="Arial"/>
      <family val="0"/>
    </font>
    <font>
      <b/>
      <sz val="10"/>
      <name val="Arial"/>
      <family val="2"/>
    </font>
    <font>
      <u val="single"/>
      <sz val="10"/>
      <color indexed="12"/>
      <name val="Arial"/>
      <family val="0"/>
    </font>
    <font>
      <u val="single"/>
      <sz val="10"/>
      <color indexed="36"/>
      <name val="Arial"/>
      <family val="0"/>
    </font>
    <font>
      <u val="single"/>
      <sz val="10"/>
      <name val="Arial"/>
      <family val="0"/>
    </font>
    <font>
      <b/>
      <sz val="14"/>
      <name val="Arial"/>
      <family val="2"/>
    </font>
    <font>
      <b/>
      <i/>
      <sz val="12"/>
      <name val="Arial"/>
      <family val="2"/>
    </font>
    <font>
      <b/>
      <sz val="12"/>
      <name val="Arial"/>
      <family val="2"/>
    </font>
    <font>
      <sz val="12"/>
      <name val="Arial"/>
      <family val="2"/>
    </font>
  </fonts>
  <fills count="5">
    <fill>
      <patternFill/>
    </fill>
    <fill>
      <patternFill patternType="gray125"/>
    </fill>
    <fill>
      <patternFill patternType="solid">
        <fgColor indexed="13"/>
        <bgColor indexed="64"/>
      </patternFill>
    </fill>
    <fill>
      <patternFill patternType="solid">
        <fgColor indexed="15"/>
        <bgColor indexed="64"/>
      </patternFill>
    </fill>
    <fill>
      <patternFill patternType="solid">
        <fgColor indexed="41"/>
        <bgColor indexed="64"/>
      </patternFill>
    </fill>
  </fills>
  <borders count="2">
    <border>
      <left/>
      <right/>
      <top/>
      <bottom/>
      <diagonal/>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33">
    <xf numFmtId="0" fontId="0" fillId="0" borderId="0" xfId="0" applyAlignment="1">
      <alignment/>
    </xf>
    <xf numFmtId="0" fontId="0" fillId="0" borderId="0" xfId="0" applyNumberFormat="1" applyAlignment="1">
      <alignment/>
    </xf>
    <xf numFmtId="164" fontId="0" fillId="0" borderId="0" xfId="0" applyNumberFormat="1" applyAlignment="1">
      <alignment/>
    </xf>
    <xf numFmtId="165" fontId="0" fillId="0" borderId="0" xfId="0" applyNumberFormat="1" applyAlignment="1">
      <alignment/>
    </xf>
    <xf numFmtId="0" fontId="2" fillId="0" borderId="0" xfId="0" applyFont="1" applyAlignment="1">
      <alignment wrapText="1"/>
    </xf>
    <xf numFmtId="0" fontId="2" fillId="0" borderId="0" xfId="0" applyNumberFormat="1" applyFont="1" applyAlignment="1">
      <alignment wrapText="1"/>
    </xf>
    <xf numFmtId="165" fontId="2" fillId="0" borderId="0" xfId="0" applyNumberFormat="1" applyFont="1" applyAlignment="1">
      <alignment wrapText="1"/>
    </xf>
    <xf numFmtId="0" fontId="2" fillId="0" borderId="0" xfId="0" applyFont="1" applyAlignment="1">
      <alignment horizontal="center"/>
    </xf>
    <xf numFmtId="0" fontId="0" fillId="2" borderId="0" xfId="0" applyNumberFormat="1" applyFill="1" applyAlignment="1">
      <alignment/>
    </xf>
    <xf numFmtId="0" fontId="0" fillId="3" borderId="0" xfId="0" applyNumberFormat="1" applyFill="1" applyAlignment="1">
      <alignment/>
    </xf>
    <xf numFmtId="0" fontId="5" fillId="0" borderId="0" xfId="0" applyFont="1" applyAlignment="1">
      <alignment/>
    </xf>
    <xf numFmtId="0" fontId="5" fillId="0" borderId="0" xfId="0" applyFont="1" applyAlignment="1">
      <alignment horizontal="center"/>
    </xf>
    <xf numFmtId="164" fontId="2" fillId="0" borderId="0" xfId="0" applyNumberFormat="1" applyFont="1" applyAlignment="1">
      <alignment horizontal="center"/>
    </xf>
    <xf numFmtId="164" fontId="0" fillId="0" borderId="0" xfId="0" applyNumberFormat="1" applyAlignment="1">
      <alignment horizontal="center"/>
    </xf>
    <xf numFmtId="164" fontId="5" fillId="0" borderId="0" xfId="0" applyNumberFormat="1" applyFont="1" applyAlignment="1">
      <alignment horizontal="center"/>
    </xf>
    <xf numFmtId="164" fontId="0" fillId="0" borderId="0" xfId="0" applyNumberFormat="1" applyFont="1" applyAlignment="1">
      <alignment horizontal="center"/>
    </xf>
    <xf numFmtId="164" fontId="5" fillId="0" borderId="0" xfId="0" applyNumberFormat="1" applyFont="1" applyAlignment="1">
      <alignment/>
    </xf>
    <xf numFmtId="0" fontId="2" fillId="0" borderId="0" xfId="0" applyFont="1" applyAlignment="1">
      <alignment/>
    </xf>
    <xf numFmtId="0" fontId="0" fillId="4" borderId="0" xfId="0" applyFill="1" applyAlignment="1">
      <alignment/>
    </xf>
    <xf numFmtId="0" fontId="8" fillId="0" borderId="1" xfId="0" applyFont="1" applyBorder="1" applyAlignment="1">
      <alignment/>
    </xf>
    <xf numFmtId="0" fontId="2" fillId="0" borderId="1" xfId="0" applyFont="1" applyBorder="1" applyAlignment="1">
      <alignment/>
    </xf>
    <xf numFmtId="165" fontId="2" fillId="0" borderId="1" xfId="0" applyNumberFormat="1" applyFont="1" applyBorder="1" applyAlignment="1">
      <alignment horizontal="center" wrapText="1"/>
    </xf>
    <xf numFmtId="165" fontId="2" fillId="0" borderId="1" xfId="0" applyNumberFormat="1" applyFont="1" applyFill="1" applyBorder="1" applyAlignment="1">
      <alignment horizontal="center" wrapText="1"/>
    </xf>
    <xf numFmtId="0" fontId="2" fillId="0" borderId="1" xfId="0" applyFont="1" applyBorder="1" applyAlignment="1">
      <alignment horizontal="center" wrapText="1"/>
    </xf>
    <xf numFmtId="0" fontId="0" fillId="0" borderId="0" xfId="0" applyAlignment="1">
      <alignment horizontal="center"/>
    </xf>
    <xf numFmtId="0" fontId="0" fillId="4" borderId="0" xfId="0" applyFill="1" applyAlignment="1">
      <alignment horizontal="center"/>
    </xf>
    <xf numFmtId="165" fontId="0" fillId="0" borderId="0" xfId="0" applyNumberFormat="1" applyAlignment="1">
      <alignment horizontal="center"/>
    </xf>
    <xf numFmtId="165" fontId="0" fillId="4" borderId="0" xfId="0" applyNumberFormat="1" applyFill="1" applyAlignment="1">
      <alignment horizontal="center"/>
    </xf>
    <xf numFmtId="165" fontId="0" fillId="0" borderId="0" xfId="0" applyNumberFormat="1" applyFill="1" applyAlignment="1">
      <alignment horizontal="center"/>
    </xf>
    <xf numFmtId="0" fontId="6" fillId="0" borderId="0" xfId="0" applyFont="1" applyAlignment="1">
      <alignment horizontal="center" wrapText="1"/>
    </xf>
    <xf numFmtId="0" fontId="7" fillId="0" borderId="0" xfId="0" applyFont="1" applyAlignment="1">
      <alignment horizontal="left" wrapText="1"/>
    </xf>
    <xf numFmtId="0" fontId="9" fillId="0" borderId="0" xfId="0" applyFont="1" applyAlignment="1">
      <alignment horizontal="left" wrapText="1"/>
    </xf>
    <xf numFmtId="0" fontId="2"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111"/>
  <sheetViews>
    <sheetView tabSelected="1" workbookViewId="0" topLeftCell="A1">
      <selection activeCell="H3" sqref="H3"/>
    </sheetView>
  </sheetViews>
  <sheetFormatPr defaultColWidth="9.140625" defaultRowHeight="12.75"/>
  <cols>
    <col min="1" max="1" width="56.28125" style="0" bestFit="1" customWidth="1"/>
    <col min="2" max="2" width="8.57421875" style="24" customWidth="1"/>
    <col min="3" max="3" width="41.421875" style="0" bestFit="1" customWidth="1"/>
    <col min="4" max="4" width="9.8515625" style="26" customWidth="1"/>
    <col min="5" max="5" width="11.7109375" style="26" customWidth="1"/>
    <col min="6" max="6" width="12.28125" style="26" customWidth="1"/>
    <col min="7" max="7" width="12.7109375" style="28" customWidth="1"/>
    <col min="8" max="16384" width="12.28125" style="0" customWidth="1"/>
  </cols>
  <sheetData>
    <row r="1" spans="2:7" ht="63" customHeight="1">
      <c r="B1" s="29" t="s">
        <v>82</v>
      </c>
      <c r="C1" s="29"/>
      <c r="D1" s="29"/>
      <c r="E1" s="29"/>
      <c r="F1" s="29"/>
      <c r="G1" s="29"/>
    </row>
    <row r="2" spans="1:7" ht="72.75" customHeight="1">
      <c r="A2" s="30" t="s">
        <v>83</v>
      </c>
      <c r="B2" s="31"/>
      <c r="C2" s="31"/>
      <c r="D2" s="31"/>
      <c r="E2" s="31"/>
      <c r="F2" s="31"/>
      <c r="G2" s="31"/>
    </row>
    <row r="3" spans="1:7" s="17" customFormat="1" ht="45.75" customHeight="1" thickBot="1">
      <c r="A3" s="19" t="s">
        <v>0</v>
      </c>
      <c r="B3" s="23" t="s">
        <v>1</v>
      </c>
      <c r="C3" s="20" t="s">
        <v>2</v>
      </c>
      <c r="D3" s="21" t="s">
        <v>53</v>
      </c>
      <c r="E3" s="21" t="s">
        <v>54</v>
      </c>
      <c r="F3" s="21" t="s">
        <v>55</v>
      </c>
      <c r="G3" s="22" t="s">
        <v>81</v>
      </c>
    </row>
    <row r="4" spans="1:7" ht="12.75">
      <c r="A4" t="s">
        <v>3</v>
      </c>
      <c r="B4" s="24">
        <v>99396</v>
      </c>
      <c r="C4" t="s">
        <v>28</v>
      </c>
      <c r="D4" s="26">
        <v>278</v>
      </c>
      <c r="E4" s="26">
        <v>265</v>
      </c>
      <c r="F4" s="26">
        <v>0</v>
      </c>
      <c r="G4" s="28">
        <v>202.99</v>
      </c>
    </row>
    <row r="5" spans="2:7" ht="12.75">
      <c r="B5" s="24">
        <v>99392</v>
      </c>
      <c r="C5" t="s">
        <v>29</v>
      </c>
      <c r="D5" s="26">
        <v>218</v>
      </c>
      <c r="E5" s="26">
        <v>208</v>
      </c>
      <c r="F5" s="26">
        <v>0</v>
      </c>
      <c r="G5" s="28">
        <v>167.28</v>
      </c>
    </row>
    <row r="6" spans="2:7" ht="12.75">
      <c r="B6" s="24">
        <v>99395</v>
      </c>
      <c r="C6" t="s">
        <v>30</v>
      </c>
      <c r="D6" s="26">
        <v>252</v>
      </c>
      <c r="E6" s="26">
        <v>240</v>
      </c>
      <c r="F6" s="26">
        <v>0</v>
      </c>
      <c r="G6" s="28">
        <v>184.26</v>
      </c>
    </row>
    <row r="7" spans="2:7" ht="12.75">
      <c r="B7" s="24">
        <v>99393</v>
      </c>
      <c r="C7" t="s">
        <v>31</v>
      </c>
      <c r="D7" s="26">
        <v>219</v>
      </c>
      <c r="E7" s="26">
        <v>209</v>
      </c>
      <c r="F7" s="26">
        <v>0</v>
      </c>
      <c r="G7" s="28">
        <v>170.07</v>
      </c>
    </row>
    <row r="9" spans="1:7" ht="12.75">
      <c r="A9" s="18" t="s">
        <v>4</v>
      </c>
      <c r="B9" s="25">
        <v>80061</v>
      </c>
      <c r="C9" s="18" t="s">
        <v>32</v>
      </c>
      <c r="D9" s="27">
        <v>179</v>
      </c>
      <c r="E9" s="27">
        <v>170</v>
      </c>
      <c r="F9" s="27">
        <v>18.85</v>
      </c>
      <c r="G9" s="27">
        <v>29.83</v>
      </c>
    </row>
    <row r="10" spans="1:7" ht="12.75">
      <c r="A10" s="18"/>
      <c r="B10" s="25">
        <v>99214</v>
      </c>
      <c r="C10" s="18" t="s">
        <v>33</v>
      </c>
      <c r="D10" s="27">
        <v>219</v>
      </c>
      <c r="E10" s="27">
        <v>209</v>
      </c>
      <c r="F10" s="27">
        <v>74.05</v>
      </c>
      <c r="G10" s="27">
        <v>184.92054256259203</v>
      </c>
    </row>
    <row r="11" spans="1:7" ht="12.75">
      <c r="A11" s="18"/>
      <c r="B11" s="25">
        <v>99396</v>
      </c>
      <c r="C11" s="18" t="s">
        <v>28</v>
      </c>
      <c r="D11" s="27">
        <v>278</v>
      </c>
      <c r="E11" s="27">
        <v>265</v>
      </c>
      <c r="F11" s="27">
        <v>0</v>
      </c>
      <c r="G11" s="27">
        <v>202.99</v>
      </c>
    </row>
    <row r="12" spans="1:7" ht="12.75">
      <c r="A12" s="18"/>
      <c r="B12" s="25">
        <v>99213</v>
      </c>
      <c r="C12" s="18" t="s">
        <v>33</v>
      </c>
      <c r="D12" s="27">
        <v>147</v>
      </c>
      <c r="E12" s="27">
        <v>140</v>
      </c>
      <c r="F12" s="27">
        <v>49.72</v>
      </c>
      <c r="G12" s="27">
        <v>123.90618728881738</v>
      </c>
    </row>
    <row r="13" spans="1:7" ht="12.75">
      <c r="A13" s="18"/>
      <c r="B13" s="25">
        <v>80053</v>
      </c>
      <c r="C13" s="18" t="s">
        <v>34</v>
      </c>
      <c r="D13" s="27">
        <v>106</v>
      </c>
      <c r="E13" s="27">
        <v>101</v>
      </c>
      <c r="F13" s="27">
        <v>14.87</v>
      </c>
      <c r="G13" s="27">
        <v>22.11</v>
      </c>
    </row>
    <row r="15" spans="1:7" ht="12.75">
      <c r="A15" t="s">
        <v>5</v>
      </c>
      <c r="B15" s="24">
        <v>99214</v>
      </c>
      <c r="C15" t="s">
        <v>33</v>
      </c>
      <c r="D15" s="26">
        <v>219</v>
      </c>
      <c r="E15" s="26">
        <v>209</v>
      </c>
      <c r="F15" s="26">
        <v>74.05</v>
      </c>
      <c r="G15" s="28">
        <v>184.92054256259203</v>
      </c>
    </row>
    <row r="16" spans="2:7" ht="12.75">
      <c r="B16" s="24">
        <v>99213</v>
      </c>
      <c r="C16" t="s">
        <v>33</v>
      </c>
      <c r="D16" s="26">
        <v>147</v>
      </c>
      <c r="E16" s="26">
        <v>140</v>
      </c>
      <c r="F16" s="26">
        <v>49.72</v>
      </c>
      <c r="G16" s="28">
        <v>123.90618728881738</v>
      </c>
    </row>
    <row r="17" spans="2:7" ht="12.75">
      <c r="B17" s="24">
        <v>99396</v>
      </c>
      <c r="C17" t="s">
        <v>28</v>
      </c>
      <c r="D17" s="26">
        <v>278</v>
      </c>
      <c r="E17" s="26">
        <v>265</v>
      </c>
      <c r="F17" s="26">
        <v>0</v>
      </c>
      <c r="G17" s="28">
        <v>202.99</v>
      </c>
    </row>
    <row r="18" spans="2:7" ht="12.75">
      <c r="B18" s="24">
        <v>80053</v>
      </c>
      <c r="C18" t="s">
        <v>34</v>
      </c>
      <c r="D18" s="26">
        <v>106</v>
      </c>
      <c r="E18" s="26">
        <v>101</v>
      </c>
      <c r="F18" s="26">
        <v>14.87</v>
      </c>
      <c r="G18" s="28">
        <v>22.11</v>
      </c>
    </row>
    <row r="20" spans="1:7" ht="12.75">
      <c r="A20" s="18" t="s">
        <v>6</v>
      </c>
      <c r="B20" s="25">
        <v>99213</v>
      </c>
      <c r="C20" s="18" t="s">
        <v>33</v>
      </c>
      <c r="D20" s="27">
        <v>147</v>
      </c>
      <c r="E20" s="27">
        <v>140</v>
      </c>
      <c r="F20" s="27">
        <v>49.72</v>
      </c>
      <c r="G20" s="27">
        <v>123.90618728881738</v>
      </c>
    </row>
    <row r="22" spans="1:7" ht="12.75">
      <c r="A22" t="s">
        <v>7</v>
      </c>
      <c r="B22" s="24">
        <v>99213</v>
      </c>
      <c r="C22" t="s">
        <v>33</v>
      </c>
      <c r="D22" s="26">
        <v>147</v>
      </c>
      <c r="E22" s="26">
        <v>140</v>
      </c>
      <c r="F22" s="26">
        <v>49.72</v>
      </c>
      <c r="G22" s="28">
        <v>123.90618728881738</v>
      </c>
    </row>
    <row r="24" spans="1:7" ht="12.75">
      <c r="A24" s="18" t="s">
        <v>8</v>
      </c>
      <c r="B24" s="25">
        <v>99213</v>
      </c>
      <c r="C24" s="18" t="s">
        <v>33</v>
      </c>
      <c r="D24" s="27">
        <v>147</v>
      </c>
      <c r="E24" s="27">
        <v>140</v>
      </c>
      <c r="F24" s="27">
        <v>49.72</v>
      </c>
      <c r="G24" s="27">
        <v>123.90618728881738</v>
      </c>
    </row>
    <row r="25" spans="1:7" ht="12.75">
      <c r="A25" s="18"/>
      <c r="B25" s="25">
        <v>99214</v>
      </c>
      <c r="C25" s="18" t="s">
        <v>33</v>
      </c>
      <c r="D25" s="27">
        <v>219</v>
      </c>
      <c r="E25" s="27">
        <v>209</v>
      </c>
      <c r="F25" s="27">
        <v>74.05</v>
      </c>
      <c r="G25" s="27">
        <v>184.92054256259203</v>
      </c>
    </row>
    <row r="26" spans="1:7" ht="12.75">
      <c r="A26" s="18"/>
      <c r="B26" s="25" t="s">
        <v>75</v>
      </c>
      <c r="C26" s="18" t="s">
        <v>35</v>
      </c>
      <c r="D26" s="27">
        <v>110</v>
      </c>
      <c r="E26" s="27">
        <v>105</v>
      </c>
      <c r="F26" s="27">
        <v>0</v>
      </c>
      <c r="G26" s="27">
        <v>45.71</v>
      </c>
    </row>
    <row r="28" spans="1:7" ht="12.75">
      <c r="A28" t="s">
        <v>9</v>
      </c>
      <c r="B28" s="24">
        <v>99214</v>
      </c>
      <c r="C28" t="s">
        <v>33</v>
      </c>
      <c r="D28" s="26">
        <v>219</v>
      </c>
      <c r="E28" s="26">
        <v>209</v>
      </c>
      <c r="F28" s="26">
        <v>74.05</v>
      </c>
      <c r="G28" s="28">
        <v>184.92054256259203</v>
      </c>
    </row>
    <row r="29" spans="2:7" ht="12.75">
      <c r="B29" s="24">
        <v>83036</v>
      </c>
      <c r="C29" t="s">
        <v>36</v>
      </c>
      <c r="D29" s="26">
        <v>78</v>
      </c>
      <c r="E29" s="28">
        <v>74</v>
      </c>
      <c r="F29" s="26">
        <v>13.66</v>
      </c>
      <c r="G29" s="28">
        <v>17.61</v>
      </c>
    </row>
    <row r="30" spans="2:7" ht="12.75">
      <c r="B30" s="24">
        <v>99213</v>
      </c>
      <c r="C30" t="s">
        <v>33</v>
      </c>
      <c r="D30" s="26">
        <v>147</v>
      </c>
      <c r="E30" s="26">
        <v>140</v>
      </c>
      <c r="F30" s="26">
        <v>49.72</v>
      </c>
      <c r="G30" s="28">
        <v>123.90618728881738</v>
      </c>
    </row>
    <row r="31" spans="2:7" ht="12.75">
      <c r="B31" s="24">
        <v>80061</v>
      </c>
      <c r="C31" t="s">
        <v>32</v>
      </c>
      <c r="D31" s="26">
        <v>179</v>
      </c>
      <c r="E31" s="26">
        <v>170</v>
      </c>
      <c r="F31" s="26">
        <v>18.85</v>
      </c>
      <c r="G31" s="28">
        <v>29.8317312</v>
      </c>
    </row>
    <row r="33" spans="1:7" ht="12.75">
      <c r="A33" s="18" t="s">
        <v>10</v>
      </c>
      <c r="B33" s="25">
        <v>80061</v>
      </c>
      <c r="C33" s="18" t="s">
        <v>32</v>
      </c>
      <c r="D33" s="27">
        <v>179</v>
      </c>
      <c r="E33" s="27">
        <v>170</v>
      </c>
      <c r="F33" s="27">
        <v>18.85</v>
      </c>
      <c r="G33" s="27">
        <v>29.8317312</v>
      </c>
    </row>
    <row r="34" spans="1:7" ht="12.75">
      <c r="A34" s="18"/>
      <c r="B34" s="25">
        <v>99214</v>
      </c>
      <c r="C34" s="18" t="s">
        <v>33</v>
      </c>
      <c r="D34" s="27">
        <v>219</v>
      </c>
      <c r="E34" s="27">
        <v>209</v>
      </c>
      <c r="F34" s="27">
        <v>74.05</v>
      </c>
      <c r="G34" s="27">
        <v>184.92054256259203</v>
      </c>
    </row>
    <row r="35" spans="1:7" ht="12.75">
      <c r="A35" s="18"/>
      <c r="B35" s="25">
        <v>99213</v>
      </c>
      <c r="C35" s="18" t="s">
        <v>33</v>
      </c>
      <c r="D35" s="27">
        <v>147</v>
      </c>
      <c r="E35" s="27">
        <v>140</v>
      </c>
      <c r="F35" s="27">
        <v>49.72</v>
      </c>
      <c r="G35" s="27">
        <v>123.90618728881738</v>
      </c>
    </row>
    <row r="36" spans="1:7" ht="12.75">
      <c r="A36" s="18"/>
      <c r="B36" s="25">
        <v>99396</v>
      </c>
      <c r="C36" s="18" t="s">
        <v>28</v>
      </c>
      <c r="D36" s="27">
        <v>278</v>
      </c>
      <c r="E36" s="27">
        <v>265</v>
      </c>
      <c r="F36" s="27">
        <v>0</v>
      </c>
      <c r="G36" s="27">
        <v>202.99</v>
      </c>
    </row>
    <row r="38" spans="1:7" ht="12.75">
      <c r="A38" t="s">
        <v>11</v>
      </c>
      <c r="B38" s="24">
        <v>99214</v>
      </c>
      <c r="C38" t="s">
        <v>33</v>
      </c>
      <c r="D38" s="26">
        <v>219</v>
      </c>
      <c r="E38" s="26">
        <v>209</v>
      </c>
      <c r="F38" s="26">
        <v>74.05</v>
      </c>
      <c r="G38" s="28">
        <v>184.92054256259203</v>
      </c>
    </row>
    <row r="39" spans="2:7" ht="12.75">
      <c r="B39" s="24">
        <v>80061</v>
      </c>
      <c r="C39" t="s">
        <v>32</v>
      </c>
      <c r="D39" s="26">
        <v>179</v>
      </c>
      <c r="E39" s="26">
        <v>170</v>
      </c>
      <c r="F39" s="26">
        <v>18.85</v>
      </c>
      <c r="G39" s="28">
        <v>29.8317312</v>
      </c>
    </row>
    <row r="40" spans="2:7" ht="12.75">
      <c r="B40" s="24">
        <v>99213</v>
      </c>
      <c r="C40" t="s">
        <v>33</v>
      </c>
      <c r="D40" s="26">
        <v>147</v>
      </c>
      <c r="E40" s="26">
        <v>140</v>
      </c>
      <c r="F40" s="26">
        <v>49.72</v>
      </c>
      <c r="G40" s="28">
        <v>123.90618728881738</v>
      </c>
    </row>
    <row r="41" spans="2:7" ht="12.75">
      <c r="B41" s="24">
        <v>99396</v>
      </c>
      <c r="C41" t="s">
        <v>28</v>
      </c>
      <c r="D41" s="26">
        <v>278</v>
      </c>
      <c r="E41" s="26">
        <v>265</v>
      </c>
      <c r="F41" s="26">
        <v>0</v>
      </c>
      <c r="G41" s="28">
        <v>202.99</v>
      </c>
    </row>
    <row r="43" spans="1:7" ht="12.75">
      <c r="A43" s="18" t="s">
        <v>12</v>
      </c>
      <c r="B43" s="25">
        <v>99213</v>
      </c>
      <c r="C43" s="18" t="s">
        <v>33</v>
      </c>
      <c r="D43" s="27">
        <v>147</v>
      </c>
      <c r="E43" s="27">
        <v>140</v>
      </c>
      <c r="F43" s="27">
        <v>49.72</v>
      </c>
      <c r="G43" s="27">
        <v>123.90618728881738</v>
      </c>
    </row>
    <row r="44" spans="1:7" ht="12.75">
      <c r="A44" s="18"/>
      <c r="B44" s="25">
        <v>99214</v>
      </c>
      <c r="C44" s="18" t="s">
        <v>33</v>
      </c>
      <c r="D44" s="27">
        <v>219</v>
      </c>
      <c r="E44" s="27">
        <v>209</v>
      </c>
      <c r="F44" s="27">
        <v>74.05</v>
      </c>
      <c r="G44" s="27">
        <v>184.92054256259203</v>
      </c>
    </row>
    <row r="45" spans="1:7" ht="12.75">
      <c r="A45" s="18"/>
      <c r="B45" s="25">
        <v>99202</v>
      </c>
      <c r="C45" s="18" t="s">
        <v>38</v>
      </c>
      <c r="D45" s="27">
        <v>169</v>
      </c>
      <c r="E45" s="27">
        <v>161</v>
      </c>
      <c r="F45" s="27">
        <v>51.17</v>
      </c>
      <c r="G45" s="27">
        <v>129.22940536398468</v>
      </c>
    </row>
    <row r="46" spans="1:7" ht="12.75">
      <c r="A46" s="18"/>
      <c r="B46" s="25">
        <v>99212</v>
      </c>
      <c r="C46" s="18" t="s">
        <v>33</v>
      </c>
      <c r="D46" s="27">
        <v>111</v>
      </c>
      <c r="E46" s="27">
        <v>106</v>
      </c>
      <c r="F46" s="27">
        <v>29.85</v>
      </c>
      <c r="G46" s="27">
        <v>75.10820351826793</v>
      </c>
    </row>
    <row r="47" spans="1:7" ht="12.75">
      <c r="A47" s="18"/>
      <c r="B47" s="25">
        <v>99203</v>
      </c>
      <c r="C47" s="18" t="s">
        <v>38</v>
      </c>
      <c r="D47" s="27">
        <v>249</v>
      </c>
      <c r="E47" s="27">
        <v>237</v>
      </c>
      <c r="F47" s="27">
        <v>73.99</v>
      </c>
      <c r="G47" s="27">
        <v>186.6317885462555</v>
      </c>
    </row>
    <row r="49" spans="1:7" ht="12.75">
      <c r="A49" t="s">
        <v>13</v>
      </c>
      <c r="B49" s="24">
        <v>99213</v>
      </c>
      <c r="C49" t="s">
        <v>33</v>
      </c>
      <c r="D49" s="26">
        <v>147</v>
      </c>
      <c r="E49" s="26">
        <v>140</v>
      </c>
      <c r="F49" s="26">
        <v>49.72</v>
      </c>
      <c r="G49" s="28">
        <v>123.90618728881738</v>
      </c>
    </row>
    <row r="50" spans="2:7" ht="12.75">
      <c r="B50" s="24">
        <v>99214</v>
      </c>
      <c r="C50" t="s">
        <v>33</v>
      </c>
      <c r="D50" s="26">
        <v>219</v>
      </c>
      <c r="E50" s="26">
        <v>209</v>
      </c>
      <c r="F50" s="26">
        <v>74.05</v>
      </c>
      <c r="G50" s="28">
        <v>184.92054256259203</v>
      </c>
    </row>
    <row r="51" spans="2:7" ht="12.75">
      <c r="B51" s="24" t="s">
        <v>75</v>
      </c>
      <c r="C51" t="s">
        <v>35</v>
      </c>
      <c r="D51" s="26">
        <v>110</v>
      </c>
      <c r="E51" s="26">
        <v>105</v>
      </c>
      <c r="F51" s="26">
        <v>22.56</v>
      </c>
      <c r="G51" s="28">
        <v>45.71</v>
      </c>
    </row>
    <row r="52" spans="2:7" ht="12.75">
      <c r="B52" s="24">
        <v>94640</v>
      </c>
      <c r="C52" t="s">
        <v>39</v>
      </c>
      <c r="D52" s="26">
        <v>63</v>
      </c>
      <c r="E52" s="26">
        <v>60</v>
      </c>
      <c r="F52" s="26">
        <v>11.46</v>
      </c>
      <c r="G52" s="28">
        <v>29.29</v>
      </c>
    </row>
    <row r="54" spans="1:7" ht="12.75">
      <c r="A54" s="18" t="s">
        <v>14</v>
      </c>
      <c r="B54" s="25">
        <v>99213</v>
      </c>
      <c r="C54" s="18" t="s">
        <v>33</v>
      </c>
      <c r="D54" s="27">
        <v>147</v>
      </c>
      <c r="E54" s="27">
        <v>140</v>
      </c>
      <c r="F54" s="27">
        <v>49.72</v>
      </c>
      <c r="G54" s="27">
        <v>123.90618728881738</v>
      </c>
    </row>
    <row r="55" spans="1:7" ht="12.75">
      <c r="A55" s="18"/>
      <c r="B55" s="25">
        <v>99214</v>
      </c>
      <c r="C55" s="18" t="s">
        <v>33</v>
      </c>
      <c r="D55" s="27">
        <v>219</v>
      </c>
      <c r="E55" s="27">
        <v>209</v>
      </c>
      <c r="F55" s="27">
        <v>74.05</v>
      </c>
      <c r="G55" s="27">
        <v>184.92054256259203</v>
      </c>
    </row>
    <row r="56" spans="1:7" ht="12.75">
      <c r="A56" s="18"/>
      <c r="B56" s="25">
        <v>99203</v>
      </c>
      <c r="C56" s="18" t="s">
        <v>38</v>
      </c>
      <c r="D56" s="27">
        <v>249</v>
      </c>
      <c r="E56" s="27">
        <v>237</v>
      </c>
      <c r="F56" s="27">
        <v>73.99</v>
      </c>
      <c r="G56" s="27">
        <v>186.6317885462555</v>
      </c>
    </row>
    <row r="58" spans="1:7" ht="12.75">
      <c r="A58" t="s">
        <v>15</v>
      </c>
      <c r="B58" s="24">
        <v>99213</v>
      </c>
      <c r="C58" t="s">
        <v>33</v>
      </c>
      <c r="D58" s="26">
        <v>147</v>
      </c>
      <c r="E58" s="26">
        <v>140</v>
      </c>
      <c r="F58" s="26">
        <v>49.72</v>
      </c>
      <c r="G58" s="28">
        <v>123.90618728881738</v>
      </c>
    </row>
    <row r="59" spans="2:7" ht="12.75">
      <c r="B59" s="24">
        <v>99214</v>
      </c>
      <c r="C59" t="s">
        <v>33</v>
      </c>
      <c r="D59" s="26">
        <v>219</v>
      </c>
      <c r="E59" s="26">
        <v>209</v>
      </c>
      <c r="F59" s="26">
        <v>74.05</v>
      </c>
      <c r="G59" s="28">
        <v>184.92054256259203</v>
      </c>
    </row>
    <row r="61" spans="1:7" ht="12.75">
      <c r="A61" s="18" t="s">
        <v>16</v>
      </c>
      <c r="B61" s="25">
        <v>99213</v>
      </c>
      <c r="C61" s="18" t="s">
        <v>33</v>
      </c>
      <c r="D61" s="27">
        <v>147</v>
      </c>
      <c r="E61" s="27">
        <v>140</v>
      </c>
      <c r="F61" s="27">
        <v>49.72</v>
      </c>
      <c r="G61" s="27">
        <v>123.90618728881738</v>
      </c>
    </row>
    <row r="62" spans="1:7" ht="12.75">
      <c r="A62" s="18"/>
      <c r="B62" s="25">
        <v>87880</v>
      </c>
      <c r="C62" s="18" t="s">
        <v>40</v>
      </c>
      <c r="D62" s="27">
        <v>71</v>
      </c>
      <c r="E62" s="27">
        <v>68</v>
      </c>
      <c r="F62" s="27">
        <v>16.88</v>
      </c>
      <c r="G62" s="27">
        <v>36.3</v>
      </c>
    </row>
    <row r="63" spans="1:7" ht="12.75">
      <c r="A63" s="18"/>
      <c r="B63" s="25">
        <v>99214</v>
      </c>
      <c r="C63" s="18" t="s">
        <v>33</v>
      </c>
      <c r="D63" s="27">
        <v>219</v>
      </c>
      <c r="E63" s="27">
        <v>209</v>
      </c>
      <c r="F63" s="27">
        <v>74.05</v>
      </c>
      <c r="G63" s="27">
        <v>184.92054256259203</v>
      </c>
    </row>
    <row r="65" spans="1:7" ht="12.75">
      <c r="A65" t="s">
        <v>17</v>
      </c>
      <c r="B65" s="24">
        <v>99213</v>
      </c>
      <c r="C65" t="s">
        <v>33</v>
      </c>
      <c r="D65" s="26">
        <v>147</v>
      </c>
      <c r="E65" s="26">
        <v>140</v>
      </c>
      <c r="F65" s="26">
        <v>49.72</v>
      </c>
      <c r="G65" s="28">
        <v>123.90618728881738</v>
      </c>
    </row>
    <row r="66" spans="2:7" ht="12.75">
      <c r="B66" s="24">
        <v>99214</v>
      </c>
      <c r="C66" t="s">
        <v>33</v>
      </c>
      <c r="D66" s="26">
        <v>219</v>
      </c>
      <c r="E66" s="26">
        <v>209</v>
      </c>
      <c r="F66" s="26">
        <v>74.05</v>
      </c>
      <c r="G66" s="28">
        <v>184.92054256259203</v>
      </c>
    </row>
    <row r="67" spans="2:7" ht="12.75">
      <c r="B67" s="24">
        <v>99212</v>
      </c>
      <c r="C67" t="s">
        <v>33</v>
      </c>
      <c r="D67" s="26">
        <v>111</v>
      </c>
      <c r="E67" s="26">
        <v>106</v>
      </c>
      <c r="F67" s="26">
        <v>29.85</v>
      </c>
      <c r="G67" s="28">
        <v>75.10820351826793</v>
      </c>
    </row>
    <row r="69" spans="1:7" ht="12.75">
      <c r="A69" s="18" t="s">
        <v>18</v>
      </c>
      <c r="B69" s="25">
        <v>99213</v>
      </c>
      <c r="C69" s="18" t="s">
        <v>33</v>
      </c>
      <c r="D69" s="27">
        <v>147</v>
      </c>
      <c r="E69" s="27">
        <v>140</v>
      </c>
      <c r="F69" s="27">
        <v>49.72</v>
      </c>
      <c r="G69" s="27">
        <v>123.90618728881738</v>
      </c>
    </row>
    <row r="70" spans="1:7" ht="12.75">
      <c r="A70" s="18"/>
      <c r="B70" s="25">
        <v>99214</v>
      </c>
      <c r="C70" s="18" t="s">
        <v>33</v>
      </c>
      <c r="D70" s="27">
        <v>219</v>
      </c>
      <c r="E70" s="27">
        <v>209</v>
      </c>
      <c r="F70" s="27">
        <v>74.05</v>
      </c>
      <c r="G70" s="27">
        <v>184.92054256259203</v>
      </c>
    </row>
    <row r="72" spans="1:7" ht="12.75">
      <c r="A72" t="s">
        <v>19</v>
      </c>
      <c r="B72" s="24">
        <v>99396</v>
      </c>
      <c r="C72" t="s">
        <v>28</v>
      </c>
      <c r="D72" s="26">
        <v>278</v>
      </c>
      <c r="E72" s="26">
        <v>265</v>
      </c>
      <c r="F72" s="26">
        <v>0</v>
      </c>
      <c r="G72" s="28">
        <v>202.99</v>
      </c>
    </row>
    <row r="73" spans="2:7" ht="12.75">
      <c r="B73" s="24">
        <v>90715</v>
      </c>
      <c r="C73" t="s">
        <v>43</v>
      </c>
      <c r="D73" s="26">
        <v>79</v>
      </c>
      <c r="E73" s="26">
        <v>75</v>
      </c>
      <c r="F73" s="26">
        <v>0</v>
      </c>
      <c r="G73" s="28">
        <v>51.82</v>
      </c>
    </row>
    <row r="74" spans="2:7" ht="12.75">
      <c r="B74" s="24">
        <v>99395</v>
      </c>
      <c r="C74" t="s">
        <v>30</v>
      </c>
      <c r="D74" s="26">
        <v>252</v>
      </c>
      <c r="E74" s="26">
        <v>240</v>
      </c>
      <c r="F74" s="26">
        <v>0</v>
      </c>
      <c r="G74" s="28">
        <v>184.26</v>
      </c>
    </row>
    <row r="75" spans="2:7" ht="12.75">
      <c r="B75" s="24">
        <v>90471</v>
      </c>
      <c r="C75" t="s">
        <v>44</v>
      </c>
      <c r="D75" s="26">
        <v>46</v>
      </c>
      <c r="E75" s="26">
        <v>44</v>
      </c>
      <c r="F75" s="26">
        <v>16.74</v>
      </c>
      <c r="G75" s="28">
        <v>37.56</v>
      </c>
    </row>
    <row r="76" spans="2:7" ht="12.75">
      <c r="B76" s="24">
        <v>90649</v>
      </c>
      <c r="C76" t="s">
        <v>45</v>
      </c>
      <c r="D76" s="26">
        <v>221</v>
      </c>
      <c r="E76" s="26">
        <v>210</v>
      </c>
      <c r="F76" s="26">
        <v>0</v>
      </c>
      <c r="G76" s="28">
        <v>170.74</v>
      </c>
    </row>
    <row r="78" spans="1:7" ht="12.75">
      <c r="A78" s="18" t="s">
        <v>20</v>
      </c>
      <c r="B78" s="25">
        <v>99395</v>
      </c>
      <c r="C78" s="18" t="s">
        <v>30</v>
      </c>
      <c r="D78" s="27">
        <v>252</v>
      </c>
      <c r="E78" s="27">
        <v>240</v>
      </c>
      <c r="F78" s="27">
        <v>0</v>
      </c>
      <c r="G78" s="27">
        <v>184.26</v>
      </c>
    </row>
    <row r="79" spans="1:7" ht="12.75">
      <c r="A79" s="18"/>
      <c r="B79" s="25">
        <v>58300</v>
      </c>
      <c r="C79" s="18" t="s">
        <v>46</v>
      </c>
      <c r="D79" s="27">
        <v>446</v>
      </c>
      <c r="E79" s="27">
        <v>425</v>
      </c>
      <c r="F79" s="27">
        <v>0</v>
      </c>
      <c r="G79" s="27">
        <v>161.28</v>
      </c>
    </row>
    <row r="80" spans="1:7" ht="12.75">
      <c r="A80" s="18"/>
      <c r="B80" s="25">
        <v>99213</v>
      </c>
      <c r="C80" s="18" t="s">
        <v>33</v>
      </c>
      <c r="D80" s="27">
        <v>147</v>
      </c>
      <c r="E80" s="27">
        <v>140</v>
      </c>
      <c r="F80" s="27">
        <v>49.72</v>
      </c>
      <c r="G80" s="27">
        <v>123.91</v>
      </c>
    </row>
    <row r="81" spans="1:7" ht="12.75">
      <c r="A81" s="18"/>
      <c r="B81" s="25">
        <v>99214</v>
      </c>
      <c r="C81" s="18" t="s">
        <v>33</v>
      </c>
      <c r="D81" s="27">
        <v>219</v>
      </c>
      <c r="E81" s="27">
        <v>209</v>
      </c>
      <c r="F81" s="27">
        <v>74.05</v>
      </c>
      <c r="G81" s="27">
        <v>184.92054256259203</v>
      </c>
    </row>
    <row r="82" spans="1:7" ht="12.75">
      <c r="A82" s="18"/>
      <c r="B82" s="25">
        <v>76830</v>
      </c>
      <c r="C82" s="18" t="s">
        <v>47</v>
      </c>
      <c r="D82" s="27">
        <v>588</v>
      </c>
      <c r="E82" s="27">
        <v>560</v>
      </c>
      <c r="F82" s="27">
        <v>91.35</v>
      </c>
      <c r="G82" s="27">
        <v>155.5</v>
      </c>
    </row>
    <row r="84" spans="1:7" ht="12.75">
      <c r="A84" t="s">
        <v>21</v>
      </c>
      <c r="B84" s="24">
        <v>99213</v>
      </c>
      <c r="C84" t="s">
        <v>33</v>
      </c>
      <c r="D84" s="26">
        <v>147</v>
      </c>
      <c r="E84" s="26">
        <v>140</v>
      </c>
      <c r="F84" s="26">
        <v>49.72</v>
      </c>
      <c r="G84" s="28">
        <v>123.90618728881738</v>
      </c>
    </row>
    <row r="85" spans="2:7" ht="12.75">
      <c r="B85" s="24">
        <v>99214</v>
      </c>
      <c r="C85" t="s">
        <v>33</v>
      </c>
      <c r="D85" s="26">
        <v>219</v>
      </c>
      <c r="E85" s="26">
        <v>209</v>
      </c>
      <c r="F85" s="26">
        <v>74.05</v>
      </c>
      <c r="G85" s="28">
        <v>184.92054256259203</v>
      </c>
    </row>
    <row r="87" spans="1:7" ht="12.75">
      <c r="A87" s="18" t="s">
        <v>22</v>
      </c>
      <c r="B87" s="25">
        <v>99213</v>
      </c>
      <c r="C87" s="18" t="s">
        <v>33</v>
      </c>
      <c r="D87" s="27">
        <v>147</v>
      </c>
      <c r="E87" s="27">
        <v>140</v>
      </c>
      <c r="F87" s="27">
        <v>49.72</v>
      </c>
      <c r="G87" s="27">
        <v>123.90618728881738</v>
      </c>
    </row>
    <row r="88" spans="1:7" ht="12.75">
      <c r="A88" s="18"/>
      <c r="B88" s="25">
        <v>99214</v>
      </c>
      <c r="C88" s="18" t="s">
        <v>33</v>
      </c>
      <c r="D88" s="27">
        <v>219</v>
      </c>
      <c r="E88" s="27">
        <v>209</v>
      </c>
      <c r="F88" s="27">
        <v>74.05</v>
      </c>
      <c r="G88" s="27">
        <v>184.92054256259203</v>
      </c>
    </row>
    <row r="89" spans="1:7" ht="12.75">
      <c r="A89" s="18"/>
      <c r="B89" s="25">
        <v>99212</v>
      </c>
      <c r="C89" s="18" t="s">
        <v>33</v>
      </c>
      <c r="D89" s="27">
        <v>111</v>
      </c>
      <c r="E89" s="27">
        <v>106</v>
      </c>
      <c r="F89" s="27">
        <v>29.85</v>
      </c>
      <c r="G89" s="27">
        <v>75.10820351826793</v>
      </c>
    </row>
    <row r="91" spans="1:7" ht="12.75">
      <c r="A91" t="s">
        <v>23</v>
      </c>
      <c r="B91" s="24">
        <v>99214</v>
      </c>
      <c r="C91" t="s">
        <v>33</v>
      </c>
      <c r="D91" s="26">
        <v>219</v>
      </c>
      <c r="E91" s="26">
        <v>209</v>
      </c>
      <c r="F91" s="26">
        <v>74.05</v>
      </c>
      <c r="G91" s="28">
        <v>184.92054256259203</v>
      </c>
    </row>
    <row r="93" spans="1:7" ht="12.75">
      <c r="A93" s="18" t="s">
        <v>24</v>
      </c>
      <c r="B93" s="25">
        <v>99214</v>
      </c>
      <c r="C93" s="18" t="s">
        <v>33</v>
      </c>
      <c r="D93" s="27">
        <v>219</v>
      </c>
      <c r="E93" s="27">
        <v>209</v>
      </c>
      <c r="F93" s="27">
        <v>74.05</v>
      </c>
      <c r="G93" s="27">
        <v>184.92054256259203</v>
      </c>
    </row>
    <row r="94" spans="1:7" ht="12.75">
      <c r="A94" s="18"/>
      <c r="B94" s="25">
        <v>99213</v>
      </c>
      <c r="C94" s="18" t="s">
        <v>33</v>
      </c>
      <c r="D94" s="27">
        <v>147</v>
      </c>
      <c r="E94" s="27">
        <v>140</v>
      </c>
      <c r="F94" s="27">
        <v>49.72</v>
      </c>
      <c r="G94" s="27">
        <v>123.90618728881738</v>
      </c>
    </row>
    <row r="96" spans="1:7" ht="12.75">
      <c r="A96" t="s">
        <v>25</v>
      </c>
      <c r="B96" s="24">
        <v>92014</v>
      </c>
      <c r="C96" t="s">
        <v>50</v>
      </c>
      <c r="D96" s="26">
        <v>143</v>
      </c>
      <c r="E96" s="26">
        <v>130</v>
      </c>
      <c r="F96" s="26">
        <v>83.86</v>
      </c>
      <c r="G96" s="28">
        <v>143</v>
      </c>
    </row>
    <row r="97" spans="2:7" ht="12.75">
      <c r="B97" s="24">
        <v>92004</v>
      </c>
      <c r="C97" t="s">
        <v>51</v>
      </c>
      <c r="D97" s="26">
        <v>182</v>
      </c>
      <c r="E97" s="26">
        <v>165</v>
      </c>
      <c r="F97" s="26">
        <v>101.34</v>
      </c>
      <c r="G97" s="28">
        <v>182</v>
      </c>
    </row>
    <row r="98" spans="2:7" ht="12.75">
      <c r="B98" s="24">
        <v>92015</v>
      </c>
      <c r="C98" t="s">
        <v>52</v>
      </c>
      <c r="D98" s="26">
        <v>25</v>
      </c>
      <c r="E98" s="26">
        <v>23</v>
      </c>
      <c r="F98" s="26">
        <v>0</v>
      </c>
      <c r="G98" s="28">
        <v>25</v>
      </c>
    </row>
    <row r="99" spans="2:7" ht="12.75">
      <c r="B99" s="24">
        <v>99213</v>
      </c>
      <c r="C99" t="s">
        <v>33</v>
      </c>
      <c r="D99" s="26">
        <v>147</v>
      </c>
      <c r="E99" s="26">
        <v>140</v>
      </c>
      <c r="F99" s="26">
        <v>49.72</v>
      </c>
      <c r="G99" s="28">
        <v>123.90618728881738</v>
      </c>
    </row>
    <row r="101" spans="1:7" ht="12.75">
      <c r="A101" s="18" t="s">
        <v>26</v>
      </c>
      <c r="B101" s="25">
        <v>92014</v>
      </c>
      <c r="C101" s="18" t="s">
        <v>52</v>
      </c>
      <c r="D101" s="27">
        <v>143</v>
      </c>
      <c r="E101" s="27">
        <v>130</v>
      </c>
      <c r="F101" s="27">
        <v>83.86</v>
      </c>
      <c r="G101" s="27">
        <v>143</v>
      </c>
    </row>
    <row r="102" spans="1:7" ht="12.75">
      <c r="A102" s="18"/>
      <c r="B102" s="25">
        <v>92015</v>
      </c>
      <c r="C102" s="18" t="s">
        <v>52</v>
      </c>
      <c r="D102" s="27">
        <v>25</v>
      </c>
      <c r="E102" s="27">
        <v>23</v>
      </c>
      <c r="F102" s="27">
        <v>0</v>
      </c>
      <c r="G102" s="27">
        <v>25</v>
      </c>
    </row>
    <row r="103" spans="1:7" ht="12.75">
      <c r="A103" s="18"/>
      <c r="B103" s="25">
        <v>99214</v>
      </c>
      <c r="C103" s="18" t="s">
        <v>33</v>
      </c>
      <c r="D103" s="27">
        <v>219</v>
      </c>
      <c r="E103" s="27">
        <v>209</v>
      </c>
      <c r="F103" s="27">
        <v>74.05</v>
      </c>
      <c r="G103" s="27">
        <v>184.92054256259203</v>
      </c>
    </row>
    <row r="104" spans="1:7" ht="12.75">
      <c r="A104" s="18"/>
      <c r="B104" s="25">
        <v>92004</v>
      </c>
      <c r="C104" s="18" t="s">
        <v>51</v>
      </c>
      <c r="D104" s="27">
        <v>182</v>
      </c>
      <c r="E104" s="27">
        <v>165</v>
      </c>
      <c r="F104" s="27">
        <v>101.34</v>
      </c>
      <c r="G104" s="27">
        <v>182</v>
      </c>
    </row>
    <row r="105" spans="1:7" ht="12.75">
      <c r="A105" s="18"/>
      <c r="B105" s="25">
        <v>99213</v>
      </c>
      <c r="C105" s="18" t="s">
        <v>33</v>
      </c>
      <c r="D105" s="27">
        <v>147</v>
      </c>
      <c r="E105" s="27">
        <v>140</v>
      </c>
      <c r="F105" s="27">
        <v>49.72</v>
      </c>
      <c r="G105" s="27">
        <v>123.90618728881738</v>
      </c>
    </row>
    <row r="107" spans="1:7" ht="12.75">
      <c r="A107" t="s">
        <v>27</v>
      </c>
      <c r="B107" s="24">
        <v>92014</v>
      </c>
      <c r="C107" t="s">
        <v>50</v>
      </c>
      <c r="D107" s="26">
        <v>143</v>
      </c>
      <c r="E107" s="26">
        <v>130</v>
      </c>
      <c r="F107" s="26">
        <v>83.86</v>
      </c>
      <c r="G107" s="28">
        <v>143</v>
      </c>
    </row>
    <row r="108" spans="2:7" ht="12.75">
      <c r="B108" s="24">
        <v>99213</v>
      </c>
      <c r="C108" t="s">
        <v>33</v>
      </c>
      <c r="D108" s="26">
        <v>147</v>
      </c>
      <c r="E108" s="26">
        <v>140</v>
      </c>
      <c r="F108" s="26">
        <v>49.72</v>
      </c>
      <c r="G108" s="28">
        <v>123.90618728881738</v>
      </c>
    </row>
    <row r="109" spans="2:7" ht="12.75">
      <c r="B109" s="24">
        <v>92015</v>
      </c>
      <c r="C109" t="s">
        <v>52</v>
      </c>
      <c r="D109" s="26">
        <v>25</v>
      </c>
      <c r="E109" s="26">
        <v>23</v>
      </c>
      <c r="F109" s="26">
        <v>0</v>
      </c>
      <c r="G109" s="28">
        <v>25</v>
      </c>
    </row>
    <row r="110" spans="2:7" ht="12.75">
      <c r="B110" s="24">
        <v>99214</v>
      </c>
      <c r="C110" t="s">
        <v>33</v>
      </c>
      <c r="D110" s="26">
        <v>219</v>
      </c>
      <c r="E110" s="26">
        <v>209</v>
      </c>
      <c r="F110" s="26">
        <v>74.05</v>
      </c>
      <c r="G110" s="28">
        <v>184.92054256259203</v>
      </c>
    </row>
    <row r="111" spans="2:7" ht="12.75">
      <c r="B111" s="24">
        <v>92004</v>
      </c>
      <c r="C111" t="s">
        <v>51</v>
      </c>
      <c r="D111" s="26">
        <v>182</v>
      </c>
      <c r="E111" s="26">
        <v>165</v>
      </c>
      <c r="F111" s="26">
        <v>101.34</v>
      </c>
      <c r="G111" s="28">
        <v>182</v>
      </c>
    </row>
  </sheetData>
  <mergeCells count="2">
    <mergeCell ref="B1:G1"/>
    <mergeCell ref="A2:G2"/>
  </mergeCells>
  <printOptions/>
  <pageMargins left="0.2" right="0.2" top="0.34" bottom="0.3" header="0.2" footer="0.2"/>
  <pageSetup horizontalDpi="600" verticalDpi="600" orientation="portrait" scale="67" r:id="rId3"/>
  <rowBreaks count="1" manualBreakCount="1">
    <brk id="77" max="6" man="1"/>
  </rowBreaks>
  <legacyDrawing r:id="rId2"/>
  <oleObjects>
    <oleObject progId="MSPhotoEd.3" shapeId="16435811" r:id="rId1"/>
  </oleObjects>
</worksheet>
</file>

<file path=xl/worksheets/sheet2.xml><?xml version="1.0" encoding="utf-8"?>
<worksheet xmlns="http://schemas.openxmlformats.org/spreadsheetml/2006/main" xmlns:r="http://schemas.openxmlformats.org/officeDocument/2006/relationships">
  <dimension ref="A1:I150"/>
  <sheetViews>
    <sheetView workbookViewId="0" topLeftCell="A115">
      <selection activeCell="A115" sqref="A1:IV16384"/>
    </sheetView>
  </sheetViews>
  <sheetFormatPr defaultColWidth="9.140625" defaultRowHeight="12.75"/>
  <cols>
    <col min="1" max="1" width="40.28125" style="0" customWidth="1"/>
    <col min="2" max="2" width="6.00390625" style="1" bestFit="1" customWidth="1"/>
    <col min="3" max="3" width="41.421875" style="0" bestFit="1" customWidth="1"/>
    <col min="4" max="5" width="7.7109375" style="3" bestFit="1" customWidth="1"/>
    <col min="6" max="6" width="10.140625" style="3" customWidth="1"/>
    <col min="7" max="7" width="10.421875" style="3" customWidth="1"/>
  </cols>
  <sheetData>
    <row r="1" spans="1:9" s="4" customFormat="1" ht="38.25">
      <c r="A1" s="4" t="s">
        <v>0</v>
      </c>
      <c r="B1" s="5" t="s">
        <v>1</v>
      </c>
      <c r="C1" s="4" t="s">
        <v>2</v>
      </c>
      <c r="D1" s="6" t="s">
        <v>53</v>
      </c>
      <c r="E1" s="6" t="s">
        <v>54</v>
      </c>
      <c r="F1" s="6" t="s">
        <v>55</v>
      </c>
      <c r="G1" s="6" t="s">
        <v>56</v>
      </c>
      <c r="I1" s="4" t="s">
        <v>67</v>
      </c>
    </row>
    <row r="2" spans="1:7" ht="12.75">
      <c r="A2" t="s">
        <v>3</v>
      </c>
      <c r="B2" s="8">
        <v>99396</v>
      </c>
      <c r="C2" t="s">
        <v>28</v>
      </c>
      <c r="D2" s="3">
        <v>278</v>
      </c>
      <c r="E2" s="3">
        <v>265</v>
      </c>
      <c r="F2" s="3">
        <v>0</v>
      </c>
      <c r="G2" s="3">
        <f>+'CPT Detail'!AC13</f>
        <v>202.98934948665297</v>
      </c>
    </row>
    <row r="3" spans="2:7" ht="12.75">
      <c r="B3" s="8">
        <v>99392</v>
      </c>
      <c r="C3" t="s">
        <v>29</v>
      </c>
      <c r="D3" s="3">
        <v>218</v>
      </c>
      <c r="E3" s="3">
        <v>208</v>
      </c>
      <c r="F3" s="3">
        <v>0</v>
      </c>
      <c r="G3" s="3">
        <f>+'CPT Detail'!M13</f>
        <v>167.28094915254238</v>
      </c>
    </row>
    <row r="4" spans="2:7" ht="12.75">
      <c r="B4" s="8">
        <v>99395</v>
      </c>
      <c r="C4" t="s">
        <v>30</v>
      </c>
      <c r="D4" s="3">
        <v>252</v>
      </c>
      <c r="E4" s="3">
        <v>240</v>
      </c>
      <c r="F4" s="3">
        <v>0</v>
      </c>
      <c r="G4" s="3">
        <f>+'CPT Detail'!Y13</f>
        <v>184.2577919463087</v>
      </c>
    </row>
    <row r="5" spans="2:9" ht="12.75">
      <c r="B5" s="9">
        <v>77057</v>
      </c>
      <c r="I5" t="s">
        <v>71</v>
      </c>
    </row>
    <row r="6" spans="2:7" ht="12.75">
      <c r="B6" s="8">
        <v>99393</v>
      </c>
      <c r="C6" t="s">
        <v>31</v>
      </c>
      <c r="D6" s="3">
        <v>219</v>
      </c>
      <c r="E6" s="3">
        <v>209</v>
      </c>
      <c r="F6" s="3">
        <v>0</v>
      </c>
      <c r="G6" s="3">
        <f>+'CPT Detail'!Q13</f>
        <v>170.0744285714286</v>
      </c>
    </row>
    <row r="8" spans="1:7" ht="12.75">
      <c r="A8" t="s">
        <v>4</v>
      </c>
      <c r="B8" s="8">
        <v>80061</v>
      </c>
      <c r="C8" t="s">
        <v>32</v>
      </c>
      <c r="D8" s="3">
        <v>179</v>
      </c>
      <c r="E8" s="3">
        <v>170</v>
      </c>
      <c r="F8" s="3">
        <v>18.85</v>
      </c>
      <c r="G8" s="3">
        <f>+'CPT Detail'!AC26</f>
        <v>29.8317312</v>
      </c>
    </row>
    <row r="9" spans="2:7" ht="12.75">
      <c r="B9" s="8">
        <v>99214</v>
      </c>
      <c r="C9" t="s">
        <v>33</v>
      </c>
      <c r="D9" s="3">
        <v>219</v>
      </c>
      <c r="E9" s="3">
        <v>209</v>
      </c>
      <c r="F9" s="3">
        <v>74.05</v>
      </c>
      <c r="G9" s="3">
        <f>+'CPT Detail'!M26</f>
        <v>184.92054256259203</v>
      </c>
    </row>
    <row r="10" spans="2:7" ht="12.75">
      <c r="B10" s="8">
        <v>99396</v>
      </c>
      <c r="C10" t="s">
        <v>28</v>
      </c>
      <c r="D10" s="3">
        <v>278</v>
      </c>
      <c r="E10" s="3">
        <v>265</v>
      </c>
      <c r="F10" s="3">
        <v>0</v>
      </c>
      <c r="G10" s="3">
        <f>+'CPT Detail'!AC13</f>
        <v>202.98934948665297</v>
      </c>
    </row>
    <row r="11" spans="2:7" ht="12.75">
      <c r="B11" s="8">
        <v>99213</v>
      </c>
      <c r="C11" t="s">
        <v>33</v>
      </c>
      <c r="D11" s="3">
        <v>147</v>
      </c>
      <c r="E11" s="3">
        <v>140</v>
      </c>
      <c r="F11" s="3">
        <v>49.72</v>
      </c>
      <c r="G11" s="3">
        <f>+'CPT Detail'!I26</f>
        <v>123.90618728881738</v>
      </c>
    </row>
    <row r="12" spans="2:7" ht="12.75">
      <c r="B12" s="8">
        <v>80053</v>
      </c>
      <c r="C12" t="s">
        <v>34</v>
      </c>
      <c r="D12" s="3">
        <v>106</v>
      </c>
      <c r="E12" s="3">
        <v>101</v>
      </c>
      <c r="F12" s="3">
        <v>14.87</v>
      </c>
      <c r="G12" s="3">
        <f>+'CPT Detail'!E39</f>
        <v>22.11067619047619</v>
      </c>
    </row>
    <row r="14" spans="1:7" ht="12.75">
      <c r="A14" t="s">
        <v>5</v>
      </c>
      <c r="B14" s="8">
        <v>99214</v>
      </c>
      <c r="C14" t="s">
        <v>33</v>
      </c>
      <c r="D14" s="3">
        <v>219</v>
      </c>
      <c r="E14" s="3">
        <v>209</v>
      </c>
      <c r="F14" s="3">
        <v>74.05</v>
      </c>
      <c r="G14" s="3">
        <f>+'CPT Detail'!M26</f>
        <v>184.92054256259203</v>
      </c>
    </row>
    <row r="15" spans="2:7" ht="12.75">
      <c r="B15" s="8">
        <v>99213</v>
      </c>
      <c r="C15" t="s">
        <v>33</v>
      </c>
      <c r="D15" s="3">
        <v>147</v>
      </c>
      <c r="E15" s="3">
        <v>140</v>
      </c>
      <c r="F15" s="3">
        <v>49.72</v>
      </c>
      <c r="G15" s="3">
        <f>+'CPT Detail'!I26</f>
        <v>123.90618728881738</v>
      </c>
    </row>
    <row r="16" spans="2:7" ht="12.75">
      <c r="B16" s="8">
        <v>99396</v>
      </c>
      <c r="C16" t="s">
        <v>28</v>
      </c>
      <c r="D16" s="3">
        <v>278</v>
      </c>
      <c r="E16" s="3">
        <v>265</v>
      </c>
      <c r="F16" s="3">
        <v>0</v>
      </c>
      <c r="G16" s="3">
        <f>+'CPT Detail'!AC13</f>
        <v>202.98934948665297</v>
      </c>
    </row>
    <row r="17" spans="2:9" ht="12.75">
      <c r="B17" s="9">
        <v>99306</v>
      </c>
      <c r="I17" t="s">
        <v>68</v>
      </c>
    </row>
    <row r="18" spans="2:7" ht="12.75">
      <c r="B18" s="8">
        <v>80053</v>
      </c>
      <c r="C18" t="s">
        <v>34</v>
      </c>
      <c r="D18" s="3">
        <v>106</v>
      </c>
      <c r="E18" s="3">
        <v>101</v>
      </c>
      <c r="F18" s="3">
        <v>14.87</v>
      </c>
      <c r="G18" s="3">
        <f>+'CPT Detail'!E39</f>
        <v>22.11067619047619</v>
      </c>
    </row>
    <row r="20" spans="1:9" ht="12.75">
      <c r="A20" t="s">
        <v>6</v>
      </c>
      <c r="B20" s="9">
        <v>98941</v>
      </c>
      <c r="I20" t="s">
        <v>71</v>
      </c>
    </row>
    <row r="21" spans="2:9" ht="12.75">
      <c r="B21" s="9">
        <v>98940</v>
      </c>
      <c r="I21" t="s">
        <v>71</v>
      </c>
    </row>
    <row r="22" spans="2:7" ht="12.75">
      <c r="B22" s="8">
        <v>99213</v>
      </c>
      <c r="C22" t="s">
        <v>33</v>
      </c>
      <c r="D22" s="3">
        <v>147</v>
      </c>
      <c r="E22" s="3">
        <v>140</v>
      </c>
      <c r="F22" s="3">
        <v>49.72</v>
      </c>
      <c r="G22" s="3">
        <f>+'CPT Detail'!I26</f>
        <v>123.90618728881738</v>
      </c>
    </row>
    <row r="23" spans="2:9" ht="12.75">
      <c r="B23" s="9">
        <v>97110</v>
      </c>
      <c r="I23" t="s">
        <v>71</v>
      </c>
    </row>
    <row r="24" spans="2:9" ht="12.75">
      <c r="B24" s="9">
        <v>72148</v>
      </c>
      <c r="I24" t="s">
        <v>71</v>
      </c>
    </row>
    <row r="26" spans="1:9" ht="12.75">
      <c r="A26" t="s">
        <v>7</v>
      </c>
      <c r="B26" s="9">
        <v>72148</v>
      </c>
      <c r="I26" t="s">
        <v>71</v>
      </c>
    </row>
    <row r="27" spans="2:9" ht="12.75">
      <c r="B27" s="9">
        <v>98941</v>
      </c>
      <c r="I27" t="s">
        <v>71</v>
      </c>
    </row>
    <row r="28" spans="2:9" ht="12.75">
      <c r="B28" s="9">
        <v>98940</v>
      </c>
      <c r="I28" t="s">
        <v>71</v>
      </c>
    </row>
    <row r="29" spans="2:7" ht="12.75">
      <c r="B29" s="8">
        <v>99213</v>
      </c>
      <c r="C29" t="s">
        <v>33</v>
      </c>
      <c r="D29" s="3">
        <v>147</v>
      </c>
      <c r="E29" s="3">
        <v>140</v>
      </c>
      <c r="F29" s="3">
        <v>49.72</v>
      </c>
      <c r="G29" s="3">
        <f>+'CPT Detail'!I26</f>
        <v>123.90618728881738</v>
      </c>
    </row>
    <row r="30" spans="2:9" ht="12.75">
      <c r="B30" s="9">
        <v>97110</v>
      </c>
      <c r="I30" t="s">
        <v>71</v>
      </c>
    </row>
    <row r="32" spans="1:7" ht="12.75">
      <c r="A32" t="s">
        <v>8</v>
      </c>
      <c r="B32" s="8">
        <v>99213</v>
      </c>
      <c r="C32" t="s">
        <v>33</v>
      </c>
      <c r="D32" s="3">
        <v>147</v>
      </c>
      <c r="E32" s="3">
        <v>140</v>
      </c>
      <c r="F32" s="3">
        <v>49.72</v>
      </c>
      <c r="G32" s="3">
        <f>+'CPT Detail'!I26</f>
        <v>123.90618728881738</v>
      </c>
    </row>
    <row r="33" spans="2:7" ht="12.75">
      <c r="B33" s="8">
        <v>99214</v>
      </c>
      <c r="C33" t="s">
        <v>33</v>
      </c>
      <c r="D33" s="3">
        <v>219</v>
      </c>
      <c r="E33" s="3">
        <v>209</v>
      </c>
      <c r="F33" s="3">
        <v>74.05</v>
      </c>
      <c r="G33" s="3">
        <f>+'CPT Detail'!M26</f>
        <v>184.92054256259203</v>
      </c>
    </row>
    <row r="34" spans="2:9" ht="12.75">
      <c r="B34" s="9">
        <v>70553</v>
      </c>
      <c r="I34" t="s">
        <v>71</v>
      </c>
    </row>
    <row r="35" spans="2:9" ht="12.75">
      <c r="B35" s="9">
        <v>77057</v>
      </c>
      <c r="I35" t="s">
        <v>71</v>
      </c>
    </row>
    <row r="36" spans="2:9" ht="12.75">
      <c r="B36" s="8" t="s">
        <v>75</v>
      </c>
      <c r="C36" t="s">
        <v>35</v>
      </c>
      <c r="D36" s="3">
        <v>110</v>
      </c>
      <c r="E36" s="3">
        <v>105</v>
      </c>
      <c r="F36" s="3">
        <v>0</v>
      </c>
      <c r="G36" s="3">
        <f>+'CPT Detail'!M39</f>
        <v>45.71166017699116</v>
      </c>
      <c r="I36" t="s">
        <v>76</v>
      </c>
    </row>
    <row r="38" spans="1:7" ht="12.75">
      <c r="A38" t="s">
        <v>9</v>
      </c>
      <c r="B38" s="8">
        <v>99214</v>
      </c>
      <c r="C38" t="s">
        <v>33</v>
      </c>
      <c r="D38" s="3">
        <v>219</v>
      </c>
      <c r="E38" s="3">
        <v>209</v>
      </c>
      <c r="F38" s="3">
        <v>74.05</v>
      </c>
      <c r="G38" s="3">
        <f>+'CPT Detail'!M26</f>
        <v>184.92054256259203</v>
      </c>
    </row>
    <row r="39" spans="2:7" ht="12.75">
      <c r="B39" s="8">
        <v>83036</v>
      </c>
      <c r="C39" t="s">
        <v>36</v>
      </c>
      <c r="D39" s="3">
        <v>78</v>
      </c>
      <c r="F39" s="3">
        <v>13.66</v>
      </c>
      <c r="G39" s="3">
        <f>+'CPT Detail'!I39</f>
        <v>17.60849166666667</v>
      </c>
    </row>
    <row r="40" spans="2:7" ht="12.75">
      <c r="B40" s="8">
        <v>99213</v>
      </c>
      <c r="C40" t="s">
        <v>33</v>
      </c>
      <c r="D40" s="3">
        <v>147</v>
      </c>
      <c r="E40" s="3">
        <v>140</v>
      </c>
      <c r="F40" s="3">
        <v>49.72</v>
      </c>
      <c r="G40" s="3">
        <f>+'CPT Detail'!I26</f>
        <v>123.90618728881738</v>
      </c>
    </row>
    <row r="41" spans="2:9" ht="12.75">
      <c r="B41" s="9">
        <v>82043</v>
      </c>
      <c r="C41" t="s">
        <v>37</v>
      </c>
      <c r="D41" s="3" t="s">
        <v>74</v>
      </c>
      <c r="I41" t="s">
        <v>73</v>
      </c>
    </row>
    <row r="42" spans="2:7" ht="12.75">
      <c r="B42" s="8">
        <v>80061</v>
      </c>
      <c r="C42" t="s">
        <v>32</v>
      </c>
      <c r="D42" s="3">
        <v>179</v>
      </c>
      <c r="E42" s="3">
        <v>170</v>
      </c>
      <c r="F42" s="3">
        <v>18.85</v>
      </c>
      <c r="G42" s="3">
        <f>+'CPT Detail'!AC26</f>
        <v>29.8317312</v>
      </c>
    </row>
    <row r="44" spans="1:7" ht="12.75">
      <c r="A44" t="s">
        <v>10</v>
      </c>
      <c r="B44" s="8">
        <v>80061</v>
      </c>
      <c r="C44" t="s">
        <v>32</v>
      </c>
      <c r="D44" s="3">
        <v>179</v>
      </c>
      <c r="E44" s="3">
        <v>170</v>
      </c>
      <c r="F44" s="3">
        <v>18.85</v>
      </c>
      <c r="G44" s="3">
        <f>+'CPT Detail'!AC26</f>
        <v>29.8317312</v>
      </c>
    </row>
    <row r="45" spans="2:7" ht="12.75">
      <c r="B45" s="8">
        <v>99214</v>
      </c>
      <c r="C45" t="s">
        <v>33</v>
      </c>
      <c r="D45" s="3">
        <v>219</v>
      </c>
      <c r="E45" s="3">
        <v>209</v>
      </c>
      <c r="F45" s="3">
        <v>74.05</v>
      </c>
      <c r="G45" s="3">
        <f>+'CPT Detail'!M26</f>
        <v>184.92054256259203</v>
      </c>
    </row>
    <row r="46" spans="2:9" ht="12.75">
      <c r="B46" s="9">
        <v>95811</v>
      </c>
      <c r="I46" t="s">
        <v>71</v>
      </c>
    </row>
    <row r="47" spans="2:7" ht="12.75">
      <c r="B47" s="8">
        <v>99213</v>
      </c>
      <c r="C47" t="s">
        <v>33</v>
      </c>
      <c r="D47" s="3">
        <v>147</v>
      </c>
      <c r="E47" s="3">
        <v>140</v>
      </c>
      <c r="F47" s="3">
        <v>49.72</v>
      </c>
      <c r="G47" s="3">
        <f>+'CPT Detail'!I26</f>
        <v>123.90618728881738</v>
      </c>
    </row>
    <row r="48" spans="2:7" ht="12.75">
      <c r="B48" s="8">
        <v>99396</v>
      </c>
      <c r="C48" t="s">
        <v>28</v>
      </c>
      <c r="D48" s="3">
        <v>278</v>
      </c>
      <c r="E48" s="3">
        <v>265</v>
      </c>
      <c r="F48" s="3">
        <v>0</v>
      </c>
      <c r="G48" s="3">
        <f>+'CPT Detail'!AC13</f>
        <v>202.98934948665297</v>
      </c>
    </row>
    <row r="50" spans="1:9" ht="12.75">
      <c r="A50" t="s">
        <v>11</v>
      </c>
      <c r="B50" s="8">
        <v>84443</v>
      </c>
      <c r="I50" t="s">
        <v>78</v>
      </c>
    </row>
    <row r="51" spans="2:7" ht="12.75">
      <c r="B51" s="8">
        <v>99214</v>
      </c>
      <c r="C51" t="s">
        <v>33</v>
      </c>
      <c r="D51" s="3">
        <v>219</v>
      </c>
      <c r="E51" s="3">
        <v>209</v>
      </c>
      <c r="F51" s="3">
        <v>74.05</v>
      </c>
      <c r="G51" s="3">
        <f>+'CPT Detail'!M26</f>
        <v>184.92054256259203</v>
      </c>
    </row>
    <row r="52" spans="2:7" ht="12.75">
      <c r="B52" s="8">
        <v>80061</v>
      </c>
      <c r="C52" t="s">
        <v>32</v>
      </c>
      <c r="D52" s="3">
        <v>179</v>
      </c>
      <c r="E52" s="3">
        <v>170</v>
      </c>
      <c r="F52" s="3">
        <v>18.85</v>
      </c>
      <c r="G52" s="3">
        <f>+'CPT Detail'!AC26</f>
        <v>29.8317312</v>
      </c>
    </row>
    <row r="53" spans="2:7" ht="12.75">
      <c r="B53" s="8">
        <v>99213</v>
      </c>
      <c r="C53" t="s">
        <v>33</v>
      </c>
      <c r="D53" s="3">
        <v>147</v>
      </c>
      <c r="E53" s="3">
        <v>140</v>
      </c>
      <c r="F53" s="3">
        <v>49.72</v>
      </c>
      <c r="G53" s="3">
        <f>+'CPT Detail'!I26</f>
        <v>123.90618728881738</v>
      </c>
    </row>
    <row r="54" spans="2:7" ht="12.75">
      <c r="B54" s="8">
        <v>99396</v>
      </c>
      <c r="C54" t="s">
        <v>28</v>
      </c>
      <c r="D54" s="3">
        <v>278</v>
      </c>
      <c r="E54" s="3">
        <v>265</v>
      </c>
      <c r="F54" s="3">
        <v>0</v>
      </c>
      <c r="G54" s="3">
        <f>+'CPT Detail'!AC13</f>
        <v>202.98934948665297</v>
      </c>
    </row>
    <row r="56" spans="1:7" ht="12.75">
      <c r="A56" t="s">
        <v>12</v>
      </c>
      <c r="B56" s="8">
        <v>99213</v>
      </c>
      <c r="C56" t="s">
        <v>33</v>
      </c>
      <c r="D56" s="3">
        <v>147</v>
      </c>
      <c r="E56" s="3">
        <v>140</v>
      </c>
      <c r="F56" s="3">
        <v>49.72</v>
      </c>
      <c r="G56" s="3">
        <f>+'CPT Detail'!I26</f>
        <v>123.90618728881738</v>
      </c>
    </row>
    <row r="57" spans="2:7" ht="12.75">
      <c r="B57" s="8">
        <v>99214</v>
      </c>
      <c r="C57" t="s">
        <v>33</v>
      </c>
      <c r="D57" s="3">
        <v>219</v>
      </c>
      <c r="E57" s="3">
        <v>209</v>
      </c>
      <c r="F57" s="3">
        <v>74.05</v>
      </c>
      <c r="G57" s="3">
        <f>+'CPT Detail'!M26</f>
        <v>184.92054256259203</v>
      </c>
    </row>
    <row r="58" spans="2:7" ht="12.75">
      <c r="B58" s="8">
        <v>99202</v>
      </c>
      <c r="C58" t="s">
        <v>38</v>
      </c>
      <c r="D58" s="3">
        <v>169</v>
      </c>
      <c r="E58" s="3">
        <v>161</v>
      </c>
      <c r="F58" s="3">
        <v>51.17</v>
      </c>
      <c r="G58" s="3">
        <f>+'CPT Detail'!E13</f>
        <v>129.22940536398468</v>
      </c>
    </row>
    <row r="59" spans="2:7" ht="12.75">
      <c r="B59" s="8">
        <v>99212</v>
      </c>
      <c r="C59" t="s">
        <v>33</v>
      </c>
      <c r="D59" s="3">
        <v>111</v>
      </c>
      <c r="E59" s="3">
        <v>106</v>
      </c>
      <c r="F59" s="3">
        <v>29.85</v>
      </c>
      <c r="G59" s="3">
        <f>+'CPT Detail'!E26</f>
        <v>75.10820351826793</v>
      </c>
    </row>
    <row r="60" spans="2:7" ht="12.75">
      <c r="B60" s="8">
        <v>99203</v>
      </c>
      <c r="C60" t="s">
        <v>38</v>
      </c>
      <c r="D60" s="3">
        <v>249</v>
      </c>
      <c r="E60" s="3">
        <v>237</v>
      </c>
      <c r="F60" s="3">
        <v>73.99</v>
      </c>
      <c r="G60" s="3">
        <f>+'CPT Detail'!I13</f>
        <v>186.6317885462555</v>
      </c>
    </row>
    <row r="62" spans="1:7" ht="12.75">
      <c r="A62" t="s">
        <v>13</v>
      </c>
      <c r="B62" s="8">
        <v>99213</v>
      </c>
      <c r="C62" t="s">
        <v>33</v>
      </c>
      <c r="D62" s="3">
        <v>147</v>
      </c>
      <c r="E62" s="3">
        <v>140</v>
      </c>
      <c r="F62" s="3">
        <v>49.72</v>
      </c>
      <c r="G62" s="3">
        <f>+'CPT Detail'!I26</f>
        <v>123.90618728881738</v>
      </c>
    </row>
    <row r="63" spans="2:7" ht="12.75">
      <c r="B63" s="8">
        <v>99214</v>
      </c>
      <c r="C63" t="s">
        <v>33</v>
      </c>
      <c r="D63" s="3">
        <v>219</v>
      </c>
      <c r="E63" s="3">
        <v>209</v>
      </c>
      <c r="F63" s="3">
        <v>74.05</v>
      </c>
      <c r="G63" s="3">
        <f>+'CPT Detail'!M26</f>
        <v>184.92054256259203</v>
      </c>
    </row>
    <row r="64" spans="2:7" ht="12.75">
      <c r="B64" s="8" t="s">
        <v>75</v>
      </c>
      <c r="C64" t="s">
        <v>35</v>
      </c>
      <c r="D64" s="3">
        <v>110</v>
      </c>
      <c r="E64" s="3">
        <v>105</v>
      </c>
      <c r="F64" s="3">
        <v>22.56</v>
      </c>
      <c r="G64" s="3">
        <f>+'CPT Detail'!M39</f>
        <v>45.71166017699116</v>
      </c>
    </row>
    <row r="65" spans="2:9" ht="12.75">
      <c r="B65" s="9">
        <v>99284</v>
      </c>
      <c r="I65" t="s">
        <v>70</v>
      </c>
    </row>
    <row r="66" spans="2:7" ht="12.75">
      <c r="B66" s="8">
        <v>94640</v>
      </c>
      <c r="C66" t="s">
        <v>39</v>
      </c>
      <c r="D66" s="3">
        <v>63</v>
      </c>
      <c r="E66" s="3">
        <v>60</v>
      </c>
      <c r="F66" s="3">
        <v>11.46</v>
      </c>
      <c r="G66" s="3">
        <f>+'CPT Detail'!E53</f>
        <v>29.291062500000002</v>
      </c>
    </row>
    <row r="68" spans="1:7" ht="12.75">
      <c r="A68" t="s">
        <v>14</v>
      </c>
      <c r="B68" s="8">
        <v>99213</v>
      </c>
      <c r="C68" t="s">
        <v>33</v>
      </c>
      <c r="D68" s="3">
        <v>147</v>
      </c>
      <c r="E68" s="3">
        <v>140</v>
      </c>
      <c r="F68" s="3">
        <v>49.72</v>
      </c>
      <c r="G68" s="3">
        <f>+'CPT Detail'!I26</f>
        <v>123.90618728881738</v>
      </c>
    </row>
    <row r="69" spans="2:7" ht="12.75">
      <c r="B69" s="8">
        <v>99214</v>
      </c>
      <c r="C69" t="s">
        <v>33</v>
      </c>
      <c r="D69" s="3">
        <v>219</v>
      </c>
      <c r="E69" s="3">
        <v>209</v>
      </c>
      <c r="F69" s="3">
        <v>74.05</v>
      </c>
      <c r="G69" s="3">
        <f>+'CPT Detail'!M26</f>
        <v>184.92054256259203</v>
      </c>
    </row>
    <row r="70" ht="12.75">
      <c r="B70" s="9">
        <v>70484</v>
      </c>
    </row>
    <row r="71" spans="2:7" ht="12.75">
      <c r="B71" s="8">
        <v>99203</v>
      </c>
      <c r="C71" t="s">
        <v>38</v>
      </c>
      <c r="D71" s="3">
        <v>249</v>
      </c>
      <c r="E71" s="3">
        <v>237</v>
      </c>
      <c r="F71" s="3">
        <v>73.99</v>
      </c>
      <c r="G71" s="3">
        <f>+'CPT Detail'!I13</f>
        <v>186.6317885462555</v>
      </c>
    </row>
    <row r="72" spans="2:9" ht="12.75">
      <c r="B72" s="9">
        <v>95165</v>
      </c>
      <c r="I72" t="s">
        <v>78</v>
      </c>
    </row>
    <row r="74" spans="1:7" ht="12.75">
      <c r="A74" t="s">
        <v>15</v>
      </c>
      <c r="B74" s="8">
        <v>99213</v>
      </c>
      <c r="C74" t="s">
        <v>33</v>
      </c>
      <c r="D74" s="3">
        <v>147</v>
      </c>
      <c r="E74" s="3">
        <v>140</v>
      </c>
      <c r="F74" s="3">
        <v>49.72</v>
      </c>
      <c r="G74" s="3">
        <f>+'CPT Detail'!I26</f>
        <v>123.90618728881738</v>
      </c>
    </row>
    <row r="75" spans="2:7" ht="12.75">
      <c r="B75" s="8">
        <v>99214</v>
      </c>
      <c r="C75" t="s">
        <v>33</v>
      </c>
      <c r="D75" s="3">
        <v>219</v>
      </c>
      <c r="E75" s="3">
        <v>209</v>
      </c>
      <c r="F75" s="3">
        <v>74.05</v>
      </c>
      <c r="G75" s="3">
        <f>+'CPT Detail'!M26</f>
        <v>184.92054256259203</v>
      </c>
    </row>
    <row r="76" spans="2:9" ht="12.75">
      <c r="B76" s="9">
        <v>70486</v>
      </c>
      <c r="I76" t="s">
        <v>71</v>
      </c>
    </row>
    <row r="77" spans="2:9" ht="12.75">
      <c r="B77" s="9">
        <v>95004</v>
      </c>
      <c r="I77" t="s">
        <v>71</v>
      </c>
    </row>
    <row r="78" spans="2:9" ht="12.75">
      <c r="B78" s="9">
        <v>31231</v>
      </c>
      <c r="I78" t="s">
        <v>71</v>
      </c>
    </row>
    <row r="80" spans="1:7" ht="12.75">
      <c r="A80" t="s">
        <v>16</v>
      </c>
      <c r="B80" s="8">
        <v>99213</v>
      </c>
      <c r="C80" t="s">
        <v>33</v>
      </c>
      <c r="D80" s="3">
        <v>147</v>
      </c>
      <c r="E80" s="3">
        <v>140</v>
      </c>
      <c r="F80" s="3">
        <v>49.72</v>
      </c>
      <c r="G80" s="3">
        <f>+'CPT Detail'!I26</f>
        <v>123.90618728881738</v>
      </c>
    </row>
    <row r="81" spans="2:7" ht="12.75">
      <c r="B81" s="8">
        <v>87880</v>
      </c>
      <c r="C81" t="s">
        <v>40</v>
      </c>
      <c r="D81" s="3">
        <v>71</v>
      </c>
      <c r="E81" s="3">
        <v>68</v>
      </c>
      <c r="F81" s="3">
        <v>16.88</v>
      </c>
      <c r="G81" s="3">
        <f>+'CPT Detail'!Q39</f>
        <v>36.299706508875744</v>
      </c>
    </row>
    <row r="82" spans="2:7" ht="12.75">
      <c r="B82" s="8">
        <v>99214</v>
      </c>
      <c r="C82" t="s">
        <v>33</v>
      </c>
      <c r="D82" s="3">
        <v>219</v>
      </c>
      <c r="E82" s="3">
        <v>209</v>
      </c>
      <c r="F82" s="3">
        <v>74.05</v>
      </c>
      <c r="G82" s="3">
        <f>+'CPT Detail'!M26</f>
        <v>184.92054256259203</v>
      </c>
    </row>
    <row r="83" spans="2:9" ht="12.75">
      <c r="B83" s="9">
        <v>87081</v>
      </c>
      <c r="C83" t="s">
        <v>41</v>
      </c>
      <c r="I83" t="s">
        <v>77</v>
      </c>
    </row>
    <row r="84" spans="2:9" ht="12.75">
      <c r="B84" s="9">
        <v>99284</v>
      </c>
      <c r="I84" t="s">
        <v>70</v>
      </c>
    </row>
    <row r="86" spans="1:7" ht="12.75">
      <c r="A86" t="s">
        <v>17</v>
      </c>
      <c r="B86" s="8">
        <v>99213</v>
      </c>
      <c r="C86" t="s">
        <v>33</v>
      </c>
      <c r="D86" s="3">
        <v>147</v>
      </c>
      <c r="E86" s="3">
        <v>140</v>
      </c>
      <c r="F86" s="3">
        <v>49.72</v>
      </c>
      <c r="G86" s="3">
        <f>+'CPT Detail'!I26</f>
        <v>123.90618728881738</v>
      </c>
    </row>
    <row r="87" spans="2:7" ht="12.75">
      <c r="B87" s="8">
        <v>99214</v>
      </c>
      <c r="C87" t="s">
        <v>33</v>
      </c>
      <c r="D87" s="3">
        <v>219</v>
      </c>
      <c r="E87" s="3">
        <v>209</v>
      </c>
      <c r="F87" s="3">
        <v>74.05</v>
      </c>
      <c r="G87" s="3">
        <f>+'CPT Detail'!M26</f>
        <v>184.92054256259203</v>
      </c>
    </row>
    <row r="88" spans="2:9" ht="12.75">
      <c r="B88" s="9">
        <v>99283</v>
      </c>
      <c r="I88" t="s">
        <v>69</v>
      </c>
    </row>
    <row r="89" spans="2:7" ht="12.75">
      <c r="B89" s="8">
        <v>99212</v>
      </c>
      <c r="C89" t="s">
        <v>33</v>
      </c>
      <c r="D89" s="3">
        <v>111</v>
      </c>
      <c r="E89" s="3">
        <v>106</v>
      </c>
      <c r="F89" s="3">
        <v>29.85</v>
      </c>
      <c r="G89" s="3">
        <f>+'CPT Detail'!E26</f>
        <v>75.10820351826793</v>
      </c>
    </row>
    <row r="90" spans="2:9" ht="12.75">
      <c r="B90" s="9">
        <v>69436</v>
      </c>
      <c r="I90" t="s">
        <v>71</v>
      </c>
    </row>
    <row r="92" spans="1:7" ht="12.75">
      <c r="A92" t="s">
        <v>18</v>
      </c>
      <c r="B92" s="8">
        <v>99213</v>
      </c>
      <c r="C92" t="s">
        <v>33</v>
      </c>
      <c r="D92" s="3">
        <v>147</v>
      </c>
      <c r="E92" s="3">
        <v>140</v>
      </c>
      <c r="F92" s="3">
        <v>49.72</v>
      </c>
      <c r="G92" s="3">
        <f>+'CPT Detail'!I26</f>
        <v>123.90618728881738</v>
      </c>
    </row>
    <row r="93" spans="2:7" ht="12.75">
      <c r="B93" s="8">
        <v>99214</v>
      </c>
      <c r="C93" t="s">
        <v>33</v>
      </c>
      <c r="D93" s="3">
        <v>219</v>
      </c>
      <c r="E93" s="3">
        <v>209</v>
      </c>
      <c r="F93" s="3">
        <v>74.05</v>
      </c>
      <c r="G93" s="3">
        <f>+'CPT Detail'!M26</f>
        <v>184.92054256259203</v>
      </c>
    </row>
    <row r="94" spans="2:9" ht="12.75">
      <c r="B94" s="9">
        <v>30901</v>
      </c>
      <c r="C94" t="s">
        <v>42</v>
      </c>
      <c r="I94" t="s">
        <v>78</v>
      </c>
    </row>
    <row r="95" spans="2:9" ht="12.75">
      <c r="B95" s="9">
        <v>31238</v>
      </c>
      <c r="I95" t="s">
        <v>71</v>
      </c>
    </row>
    <row r="96" spans="2:9" ht="12.75">
      <c r="B96" s="9">
        <v>99283</v>
      </c>
      <c r="I96" t="s">
        <v>69</v>
      </c>
    </row>
    <row r="98" spans="1:7" ht="12.75">
      <c r="A98" t="s">
        <v>19</v>
      </c>
      <c r="B98" s="8">
        <v>99396</v>
      </c>
      <c r="C98" t="s">
        <v>28</v>
      </c>
      <c r="D98" s="3">
        <v>278</v>
      </c>
      <c r="E98" s="3">
        <v>265</v>
      </c>
      <c r="F98" s="3">
        <v>0</v>
      </c>
      <c r="G98" s="3">
        <f>+'CPT Detail'!AC13</f>
        <v>202.98934948665297</v>
      </c>
    </row>
    <row r="99" spans="2:7" ht="12.75">
      <c r="B99" s="8">
        <v>90715</v>
      </c>
      <c r="C99" t="s">
        <v>43</v>
      </c>
      <c r="D99" s="3">
        <v>79</v>
      </c>
      <c r="E99" s="3">
        <v>75</v>
      </c>
      <c r="F99" s="3">
        <v>0</v>
      </c>
      <c r="G99" s="3">
        <f>+'CPT Detail'!Y39</f>
        <v>51.82327307692309</v>
      </c>
    </row>
    <row r="100" spans="2:7" ht="12.75">
      <c r="B100" s="8">
        <v>99395</v>
      </c>
      <c r="C100" t="s">
        <v>30</v>
      </c>
      <c r="D100" s="3">
        <v>252</v>
      </c>
      <c r="E100" s="3">
        <v>240</v>
      </c>
      <c r="F100" s="3">
        <v>0</v>
      </c>
      <c r="G100" s="3">
        <f>+'CPT Detail'!Y13</f>
        <v>184.2577919463087</v>
      </c>
    </row>
    <row r="101" spans="2:7" ht="12.75">
      <c r="B101" s="8">
        <v>90471</v>
      </c>
      <c r="C101" t="s">
        <v>44</v>
      </c>
      <c r="D101" s="3">
        <v>46</v>
      </c>
      <c r="E101" s="3">
        <v>44</v>
      </c>
      <c r="F101" s="3">
        <v>16.74</v>
      </c>
      <c r="G101" s="3">
        <f>+'CPT Detail'!AC39</f>
        <v>37.558110882956875</v>
      </c>
    </row>
    <row r="102" spans="2:7" ht="12.75">
      <c r="B102" s="8">
        <v>90649</v>
      </c>
      <c r="C102" t="s">
        <v>45</v>
      </c>
      <c r="D102" s="3">
        <v>221</v>
      </c>
      <c r="E102" s="3">
        <v>210</v>
      </c>
      <c r="F102" s="3">
        <v>0</v>
      </c>
      <c r="G102" s="3">
        <f>+'CPT Detail'!U39</f>
        <v>170.74447619047618</v>
      </c>
    </row>
    <row r="104" spans="1:7" ht="12.75">
      <c r="A104" t="s">
        <v>20</v>
      </c>
      <c r="B104" s="8">
        <v>99395</v>
      </c>
      <c r="C104" t="s">
        <v>30</v>
      </c>
      <c r="D104" s="3">
        <v>252</v>
      </c>
      <c r="E104" s="3">
        <v>240</v>
      </c>
      <c r="F104" s="3">
        <v>0</v>
      </c>
      <c r="G104" s="3">
        <f>+'CPT Detail'!Y13</f>
        <v>184.2577919463087</v>
      </c>
    </row>
    <row r="105" spans="2:7" ht="12.75">
      <c r="B105" s="8">
        <v>58300</v>
      </c>
      <c r="C105" t="s">
        <v>46</v>
      </c>
      <c r="D105" s="3">
        <v>446</v>
      </c>
      <c r="E105" s="3">
        <v>425</v>
      </c>
      <c r="F105" s="3">
        <v>0</v>
      </c>
      <c r="G105" s="3">
        <f>+'CPT Detail'!I53</f>
        <v>161.2776275862069</v>
      </c>
    </row>
    <row r="106" spans="2:7" ht="12.75">
      <c r="B106" s="8">
        <v>99213</v>
      </c>
      <c r="C106" t="s">
        <v>33</v>
      </c>
      <c r="D106" s="3">
        <v>147</v>
      </c>
      <c r="E106" s="3">
        <v>140</v>
      </c>
      <c r="F106" s="3">
        <v>49.72</v>
      </c>
      <c r="G106" s="3">
        <f>+'CPT Detail'!I26</f>
        <v>123.90618728881738</v>
      </c>
    </row>
    <row r="107" spans="2:7" ht="12.75">
      <c r="B107" s="8">
        <v>99214</v>
      </c>
      <c r="C107" t="s">
        <v>33</v>
      </c>
      <c r="D107" s="3">
        <v>219</v>
      </c>
      <c r="E107" s="3">
        <v>209</v>
      </c>
      <c r="F107" s="3">
        <v>74.05</v>
      </c>
      <c r="G107" s="3">
        <f>+'CPT Detail'!M26</f>
        <v>184.92054256259203</v>
      </c>
    </row>
    <row r="108" spans="2:7" ht="12.75">
      <c r="B108" s="8">
        <v>76830</v>
      </c>
      <c r="C108" t="s">
        <v>47</v>
      </c>
      <c r="D108" s="3">
        <v>588</v>
      </c>
      <c r="E108" s="3">
        <v>560</v>
      </c>
      <c r="F108" s="3">
        <v>91.35</v>
      </c>
      <c r="G108" s="3">
        <f>+'CPT Detail'!M53</f>
        <v>155.49906666666666</v>
      </c>
    </row>
    <row r="110" spans="1:9" ht="12.75">
      <c r="A110" t="s">
        <v>21</v>
      </c>
      <c r="B110" s="9">
        <v>45378</v>
      </c>
      <c r="I110" t="s">
        <v>71</v>
      </c>
    </row>
    <row r="111" spans="2:9" ht="12.75">
      <c r="B111" s="9">
        <v>72193</v>
      </c>
      <c r="I111" t="s">
        <v>71</v>
      </c>
    </row>
    <row r="112" spans="2:9" ht="12.75">
      <c r="B112" s="9">
        <v>74160</v>
      </c>
      <c r="I112" t="s">
        <v>71</v>
      </c>
    </row>
    <row r="113" spans="2:7" ht="12.75">
      <c r="B113" s="8">
        <v>99213</v>
      </c>
      <c r="C113" t="s">
        <v>33</v>
      </c>
      <c r="D113" s="3">
        <v>147</v>
      </c>
      <c r="E113" s="3">
        <v>140</v>
      </c>
      <c r="F113" s="3">
        <v>49.72</v>
      </c>
      <c r="G113" s="3">
        <f>+'CPT Detail'!I26</f>
        <v>123.90618728881738</v>
      </c>
    </row>
    <row r="114" spans="2:7" ht="12.75">
      <c r="B114" s="8">
        <v>99214</v>
      </c>
      <c r="C114" t="s">
        <v>33</v>
      </c>
      <c r="D114" s="3">
        <v>219</v>
      </c>
      <c r="E114" s="3">
        <v>209</v>
      </c>
      <c r="F114" s="3">
        <v>74.05</v>
      </c>
      <c r="G114" s="3">
        <f>+'CPT Detail'!M26</f>
        <v>184.92054256259203</v>
      </c>
    </row>
    <row r="116" spans="1:9" ht="12.75">
      <c r="A116" t="s">
        <v>22</v>
      </c>
      <c r="B116" s="9">
        <v>11721</v>
      </c>
      <c r="C116" t="s">
        <v>48</v>
      </c>
      <c r="I116" t="s">
        <v>71</v>
      </c>
    </row>
    <row r="117" spans="2:7" ht="12.75">
      <c r="B117" s="8">
        <v>99213</v>
      </c>
      <c r="C117" t="s">
        <v>33</v>
      </c>
      <c r="D117" s="3">
        <v>147</v>
      </c>
      <c r="E117" s="3">
        <v>140</v>
      </c>
      <c r="F117" s="3">
        <v>49.72</v>
      </c>
      <c r="G117" s="3">
        <f>+'CPT Detail'!I26</f>
        <v>123.90618728881738</v>
      </c>
    </row>
    <row r="118" spans="2:9" ht="12.75">
      <c r="B118" s="9">
        <v>11750</v>
      </c>
      <c r="C118" t="s">
        <v>49</v>
      </c>
      <c r="I118" t="s">
        <v>79</v>
      </c>
    </row>
    <row r="119" spans="2:7" ht="12.75">
      <c r="B119" s="8">
        <v>99214</v>
      </c>
      <c r="C119" t="s">
        <v>33</v>
      </c>
      <c r="D119" s="3">
        <v>219</v>
      </c>
      <c r="E119" s="3">
        <v>209</v>
      </c>
      <c r="F119" s="3">
        <v>74.05</v>
      </c>
      <c r="G119" s="3">
        <f>+'CPT Detail'!M26</f>
        <v>184.92054256259203</v>
      </c>
    </row>
    <row r="120" spans="2:7" ht="12.75">
      <c r="B120" s="8">
        <v>99212</v>
      </c>
      <c r="C120" t="s">
        <v>33</v>
      </c>
      <c r="D120" s="3">
        <v>111</v>
      </c>
      <c r="E120" s="3">
        <v>106</v>
      </c>
      <c r="F120" s="3">
        <v>29.85</v>
      </c>
      <c r="G120" s="3">
        <f>+'CPT Detail'!E26</f>
        <v>75.10820351826793</v>
      </c>
    </row>
    <row r="122" spans="1:9" ht="12.75">
      <c r="A122" t="s">
        <v>23</v>
      </c>
      <c r="B122" s="9">
        <v>90806</v>
      </c>
      <c r="I122" t="s">
        <v>71</v>
      </c>
    </row>
    <row r="123" spans="2:9" ht="12.75">
      <c r="B123" s="9">
        <v>90801</v>
      </c>
      <c r="I123" t="s">
        <v>71</v>
      </c>
    </row>
    <row r="124" spans="2:7" ht="12.75">
      <c r="B124" s="8">
        <v>99214</v>
      </c>
      <c r="C124" t="s">
        <v>33</v>
      </c>
      <c r="D124" s="3">
        <v>219</v>
      </c>
      <c r="E124" s="3">
        <v>209</v>
      </c>
      <c r="F124" s="3">
        <v>74.05</v>
      </c>
      <c r="G124" s="3">
        <f>+'CPT Detail'!M26</f>
        <v>184.92054256259203</v>
      </c>
    </row>
    <row r="125" spans="2:9" ht="12.75">
      <c r="B125" s="9">
        <v>90862</v>
      </c>
      <c r="I125" t="s">
        <v>71</v>
      </c>
    </row>
    <row r="126" spans="2:9" ht="12.75">
      <c r="B126" s="9">
        <v>90805</v>
      </c>
      <c r="I126" t="s">
        <v>71</v>
      </c>
    </row>
    <row r="128" spans="1:9" ht="12.75">
      <c r="A128" t="s">
        <v>24</v>
      </c>
      <c r="B128" s="9">
        <v>90805</v>
      </c>
      <c r="I128" t="s">
        <v>71</v>
      </c>
    </row>
    <row r="129" spans="2:9" ht="12.75">
      <c r="B129" s="9">
        <v>90811</v>
      </c>
      <c r="I129" t="s">
        <v>71</v>
      </c>
    </row>
    <row r="130" spans="2:9" ht="12.75">
      <c r="B130" s="9">
        <v>90847</v>
      </c>
      <c r="I130" t="s">
        <v>71</v>
      </c>
    </row>
    <row r="131" spans="2:7" ht="12.75">
      <c r="B131" s="8">
        <v>99214</v>
      </c>
      <c r="C131" t="s">
        <v>33</v>
      </c>
      <c r="D131" s="3">
        <v>219</v>
      </c>
      <c r="E131" s="3">
        <v>209</v>
      </c>
      <c r="F131" s="3">
        <v>74.05</v>
      </c>
      <c r="G131" s="3">
        <f>+'CPT Detail'!M26</f>
        <v>184.92054256259203</v>
      </c>
    </row>
    <row r="132" spans="2:7" ht="12.75">
      <c r="B132" s="8">
        <v>99213</v>
      </c>
      <c r="C132" t="s">
        <v>33</v>
      </c>
      <c r="D132" s="3">
        <v>147</v>
      </c>
      <c r="E132" s="3">
        <v>140</v>
      </c>
      <c r="F132" s="3">
        <v>49.72</v>
      </c>
      <c r="G132" s="3">
        <f>+'CPT Detail'!I26</f>
        <v>123.90618728881738</v>
      </c>
    </row>
    <row r="134" spans="1:7" ht="12.75">
      <c r="A134" t="s">
        <v>25</v>
      </c>
      <c r="B134" s="8">
        <v>92014</v>
      </c>
      <c r="C134" t="s">
        <v>50</v>
      </c>
      <c r="D134" s="3">
        <v>143</v>
      </c>
      <c r="F134" s="3">
        <v>83.86</v>
      </c>
      <c r="G134" s="3">
        <f>+'CPT Detail'!U26</f>
        <v>201.54373369565218</v>
      </c>
    </row>
    <row r="135" spans="2:7" ht="12.75">
      <c r="B135" s="8">
        <v>92004</v>
      </c>
      <c r="C135" t="s">
        <v>51</v>
      </c>
      <c r="D135" s="3">
        <v>182</v>
      </c>
      <c r="F135" s="3">
        <v>101.34</v>
      </c>
      <c r="G135" s="3">
        <f>+'CPT Detail'!Q26</f>
        <v>246.26934488188974</v>
      </c>
    </row>
    <row r="136" spans="2:7" ht="12.75">
      <c r="B136" s="8">
        <v>92015</v>
      </c>
      <c r="C136" t="s">
        <v>52</v>
      </c>
      <c r="D136" s="3">
        <v>25</v>
      </c>
      <c r="F136" s="3">
        <v>0</v>
      </c>
      <c r="G136" s="3">
        <f>+'CPT Detail'!Y26</f>
        <v>69.96318584070796</v>
      </c>
    </row>
    <row r="137" spans="2:9" ht="12.75">
      <c r="B137" s="9">
        <v>92012</v>
      </c>
      <c r="I137" t="s">
        <v>72</v>
      </c>
    </row>
    <row r="138" spans="2:7" ht="12.75">
      <c r="B138" s="8">
        <v>99213</v>
      </c>
      <c r="C138" t="s">
        <v>33</v>
      </c>
      <c r="D138" s="3">
        <v>147</v>
      </c>
      <c r="F138" s="3">
        <v>49.72</v>
      </c>
      <c r="G138" s="3">
        <f>+'CPT Detail'!I26</f>
        <v>123.90618728881738</v>
      </c>
    </row>
    <row r="140" spans="1:7" ht="12.75">
      <c r="A140" t="s">
        <v>26</v>
      </c>
      <c r="B140" s="8">
        <v>92014</v>
      </c>
      <c r="C140" t="s">
        <v>52</v>
      </c>
      <c r="D140" s="3">
        <v>143</v>
      </c>
      <c r="F140" s="3">
        <v>83.86</v>
      </c>
      <c r="G140" s="3">
        <f>+'CPT Detail'!U26</f>
        <v>201.54373369565218</v>
      </c>
    </row>
    <row r="141" spans="2:7" ht="12.75">
      <c r="B141" s="8">
        <v>92015</v>
      </c>
      <c r="C141" t="s">
        <v>52</v>
      </c>
      <c r="D141" s="3">
        <v>25</v>
      </c>
      <c r="F141" s="3">
        <v>0</v>
      </c>
      <c r="G141" s="3">
        <f>+'CPT Detail'!Y26</f>
        <v>69.96318584070796</v>
      </c>
    </row>
    <row r="142" spans="2:7" ht="12.75">
      <c r="B142" s="8">
        <v>99214</v>
      </c>
      <c r="C142" t="s">
        <v>33</v>
      </c>
      <c r="D142" s="3">
        <v>219</v>
      </c>
      <c r="F142" s="3">
        <v>74.05</v>
      </c>
      <c r="G142" s="3">
        <f>+'CPT Detail'!M26</f>
        <v>184.92054256259203</v>
      </c>
    </row>
    <row r="143" spans="2:7" ht="12.75">
      <c r="B143" s="8">
        <v>92004</v>
      </c>
      <c r="C143" t="s">
        <v>51</v>
      </c>
      <c r="D143" s="3">
        <v>182</v>
      </c>
      <c r="F143" s="3">
        <v>101.34</v>
      </c>
      <c r="G143" s="3">
        <f>+'CPT Detail'!Q26</f>
        <v>246.26934488188974</v>
      </c>
    </row>
    <row r="144" spans="2:7" ht="12.75">
      <c r="B144" s="8">
        <v>99213</v>
      </c>
      <c r="C144" t="s">
        <v>33</v>
      </c>
      <c r="D144" s="3">
        <v>147</v>
      </c>
      <c r="F144" s="3">
        <v>49.72</v>
      </c>
      <c r="G144" s="3">
        <f>+'CPT Detail'!I26</f>
        <v>123.90618728881738</v>
      </c>
    </row>
    <row r="146" spans="1:7" ht="12.75">
      <c r="A146" t="s">
        <v>27</v>
      </c>
      <c r="B146" s="8">
        <v>92014</v>
      </c>
      <c r="C146" t="s">
        <v>50</v>
      </c>
      <c r="D146" s="3">
        <v>143</v>
      </c>
      <c r="F146" s="3">
        <v>83.86</v>
      </c>
      <c r="G146" s="3">
        <f>+'CPT Detail'!U26</f>
        <v>201.54373369565218</v>
      </c>
    </row>
    <row r="147" spans="2:7" ht="12.75">
      <c r="B147" s="8">
        <v>99213</v>
      </c>
      <c r="C147" t="s">
        <v>33</v>
      </c>
      <c r="D147" s="3">
        <v>147</v>
      </c>
      <c r="F147" s="3">
        <v>49.72</v>
      </c>
      <c r="G147" s="3">
        <f>+'CPT Detail'!I26</f>
        <v>123.90618728881738</v>
      </c>
    </row>
    <row r="148" spans="2:7" ht="12.75">
      <c r="B148" s="8">
        <v>92015</v>
      </c>
      <c r="C148" t="s">
        <v>52</v>
      </c>
      <c r="D148" s="3">
        <v>25</v>
      </c>
      <c r="F148" s="3">
        <v>0</v>
      </c>
      <c r="G148" s="3">
        <f>+'CPT Detail'!Y26</f>
        <v>69.96318584070796</v>
      </c>
    </row>
    <row r="149" spans="2:7" ht="12.75">
      <c r="B149" s="8">
        <v>99214</v>
      </c>
      <c r="C149" t="s">
        <v>33</v>
      </c>
      <c r="D149" s="3">
        <v>219</v>
      </c>
      <c r="F149" s="3">
        <v>74.05</v>
      </c>
      <c r="G149" s="3">
        <f>+'CPT Detail'!M26</f>
        <v>184.92054256259203</v>
      </c>
    </row>
    <row r="150" spans="2:7" ht="12.75">
      <c r="B150" s="8">
        <v>92004</v>
      </c>
      <c r="C150" t="s">
        <v>51</v>
      </c>
      <c r="D150" s="3">
        <v>182</v>
      </c>
      <c r="F150" s="3">
        <v>101.34</v>
      </c>
      <c r="G150" s="3">
        <f>+'CPT Detail'!Q26</f>
        <v>246.26934488188974</v>
      </c>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C53"/>
  <sheetViews>
    <sheetView workbookViewId="0" topLeftCell="A1">
      <pane xSplit="2" ySplit="3" topLeftCell="C35" activePane="bottomRight" state="frozen"/>
      <selection pane="topLeft" activeCell="A1" sqref="A1"/>
      <selection pane="topRight" activeCell="C1" sqref="C1"/>
      <selection pane="bottomLeft" activeCell="A4" sqref="A4"/>
      <selection pane="bottomRight" activeCell="A1" sqref="A1:IV16384"/>
    </sheetView>
  </sheetViews>
  <sheetFormatPr defaultColWidth="9.140625" defaultRowHeight="12.75"/>
  <cols>
    <col min="1" max="1" width="10.140625" style="0" bestFit="1" customWidth="1"/>
    <col min="2" max="2" width="2.7109375" style="0" customWidth="1"/>
    <col min="5" max="5" width="9.140625" style="2" customWidth="1"/>
    <col min="6" max="6" width="2.140625" style="0" customWidth="1"/>
    <col min="9" max="9" width="9.140625" style="2" customWidth="1"/>
    <col min="10" max="10" width="2.140625" style="0" customWidth="1"/>
    <col min="13" max="13" width="9.140625" style="2" customWidth="1"/>
    <col min="14" max="14" width="2.28125" style="0" customWidth="1"/>
    <col min="17" max="17" width="9.140625" style="2" customWidth="1"/>
    <col min="18" max="18" width="2.140625" style="0" customWidth="1"/>
    <col min="21" max="21" width="9.140625" style="2" customWidth="1"/>
    <col min="22" max="22" width="1.8515625" style="0" customWidth="1"/>
    <col min="25" max="25" width="9.140625" style="2" customWidth="1"/>
    <col min="26" max="26" width="2.00390625" style="0" customWidth="1"/>
    <col min="29" max="29" width="9.140625" style="2" customWidth="1"/>
  </cols>
  <sheetData>
    <row r="1" spans="3:28" ht="12.75">
      <c r="C1" s="7"/>
      <c r="D1" s="7"/>
      <c r="E1" s="12"/>
      <c r="G1" s="7"/>
      <c r="H1" s="7"/>
      <c r="I1" s="12"/>
      <c r="K1" s="7"/>
      <c r="L1" s="7"/>
      <c r="M1" s="12"/>
      <c r="O1" s="7"/>
      <c r="P1" s="7"/>
      <c r="Q1" s="12"/>
      <c r="S1" s="7"/>
      <c r="T1" s="7"/>
      <c r="U1" s="12"/>
      <c r="W1" s="7"/>
      <c r="X1" s="7"/>
      <c r="Y1" s="12"/>
      <c r="AA1" s="7"/>
      <c r="AB1" s="7"/>
    </row>
    <row r="2" spans="3:28" ht="12.75">
      <c r="C2" s="32">
        <v>99202</v>
      </c>
      <c r="D2" s="32"/>
      <c r="E2" s="13"/>
      <c r="G2" s="32">
        <v>99203</v>
      </c>
      <c r="H2" s="32"/>
      <c r="I2" s="13"/>
      <c r="K2" s="32">
        <v>99392</v>
      </c>
      <c r="L2" s="32"/>
      <c r="M2" s="13"/>
      <c r="O2" s="32">
        <v>99393</v>
      </c>
      <c r="P2" s="32"/>
      <c r="Q2" s="13"/>
      <c r="S2" s="32">
        <v>99394</v>
      </c>
      <c r="T2" s="32"/>
      <c r="U2" s="13"/>
      <c r="W2" s="32">
        <v>99395</v>
      </c>
      <c r="X2" s="32"/>
      <c r="Y2" s="13"/>
      <c r="AA2" s="32">
        <v>99396</v>
      </c>
      <c r="AB2" s="32"/>
    </row>
    <row r="3" spans="3:29" s="11" customFormat="1" ht="12.75">
      <c r="C3" s="11" t="s">
        <v>59</v>
      </c>
      <c r="D3" s="11" t="s">
        <v>66</v>
      </c>
      <c r="E3" s="15">
        <v>169</v>
      </c>
      <c r="G3" s="11" t="s">
        <v>59</v>
      </c>
      <c r="H3" s="11" t="s">
        <v>66</v>
      </c>
      <c r="I3" s="15">
        <v>249</v>
      </c>
      <c r="K3" s="11" t="s">
        <v>59</v>
      </c>
      <c r="L3" s="11" t="s">
        <v>66</v>
      </c>
      <c r="M3" s="15">
        <v>218</v>
      </c>
      <c r="O3" s="11" t="s">
        <v>59</v>
      </c>
      <c r="P3" s="11" t="s">
        <v>66</v>
      </c>
      <c r="Q3" s="15">
        <v>219</v>
      </c>
      <c r="S3" s="11" t="s">
        <v>59</v>
      </c>
      <c r="T3" s="11" t="s">
        <v>66</v>
      </c>
      <c r="U3" s="15">
        <v>249</v>
      </c>
      <c r="W3" s="11" t="s">
        <v>59</v>
      </c>
      <c r="X3" s="11" t="s">
        <v>66</v>
      </c>
      <c r="Y3" s="15">
        <v>252</v>
      </c>
      <c r="AA3" s="11" t="s">
        <v>59</v>
      </c>
      <c r="AB3" s="11" t="s">
        <v>66</v>
      </c>
      <c r="AC3" s="15">
        <v>278</v>
      </c>
    </row>
    <row r="4" spans="1:29" ht="12.75">
      <c r="A4" t="s">
        <v>58</v>
      </c>
      <c r="C4">
        <f>2+4</f>
        <v>6</v>
      </c>
      <c r="D4" s="2">
        <v>137.64</v>
      </c>
      <c r="E4" s="2">
        <f aca="true" t="shared" si="0" ref="E4:E11">+C4*D4</f>
        <v>825.8399999999999</v>
      </c>
      <c r="G4">
        <f>3+5</f>
        <v>8</v>
      </c>
      <c r="H4" s="2">
        <v>204.85</v>
      </c>
      <c r="I4" s="2">
        <f aca="true" t="shared" si="1" ref="I4:I11">+G4*H4</f>
        <v>1638.8</v>
      </c>
      <c r="K4">
        <v>3</v>
      </c>
      <c r="L4" s="2">
        <v>186.46</v>
      </c>
      <c r="M4" s="2">
        <f aca="true" t="shared" si="2" ref="M4:M11">+K4*L4</f>
        <v>559.38</v>
      </c>
      <c r="O4">
        <v>4</v>
      </c>
      <c r="P4" s="2">
        <v>184.06</v>
      </c>
      <c r="Q4" s="2">
        <f aca="true" t="shared" si="3" ref="Q4:Q11">+O4*P4</f>
        <v>736.24</v>
      </c>
      <c r="S4">
        <v>2</v>
      </c>
      <c r="T4" s="2">
        <v>203.26</v>
      </c>
      <c r="U4" s="2">
        <f aca="true" t="shared" si="4" ref="U4:U11">+S4*T4</f>
        <v>406.52</v>
      </c>
      <c r="W4">
        <v>11</v>
      </c>
      <c r="X4" s="2">
        <v>205.66</v>
      </c>
      <c r="Y4" s="2">
        <f aca="true" t="shared" si="5" ref="Y4:Y11">+W4*X4</f>
        <v>2262.2599999999998</v>
      </c>
      <c r="AA4">
        <v>21</v>
      </c>
      <c r="AB4" s="2">
        <v>227.27</v>
      </c>
      <c r="AC4" s="2">
        <f aca="true" t="shared" si="6" ref="AC4:AC11">+AA4*AB4</f>
        <v>4772.67</v>
      </c>
    </row>
    <row r="5" spans="1:29" ht="12.75">
      <c r="A5" t="s">
        <v>57</v>
      </c>
      <c r="C5">
        <f>17+28</f>
        <v>45</v>
      </c>
      <c r="D5" s="2">
        <v>120.11</v>
      </c>
      <c r="E5" s="2">
        <f t="shared" si="0"/>
        <v>5404.95</v>
      </c>
      <c r="G5">
        <f>29+16</f>
        <v>45</v>
      </c>
      <c r="H5" s="2">
        <v>175.92</v>
      </c>
      <c r="I5" s="2">
        <f t="shared" si="1"/>
        <v>7916.4</v>
      </c>
      <c r="K5">
        <v>13</v>
      </c>
      <c r="L5" s="2">
        <v>167.88</v>
      </c>
      <c r="M5" s="2">
        <f t="shared" si="2"/>
        <v>2182.44</v>
      </c>
      <c r="O5">
        <v>2</v>
      </c>
      <c r="P5" s="2">
        <v>166.44</v>
      </c>
      <c r="Q5" s="2">
        <f t="shared" si="3"/>
        <v>332.88</v>
      </c>
      <c r="S5">
        <v>7</v>
      </c>
      <c r="T5" s="2">
        <v>183.39</v>
      </c>
      <c r="U5" s="2">
        <f t="shared" si="4"/>
        <v>1283.73</v>
      </c>
      <c r="W5">
        <v>50</v>
      </c>
      <c r="X5" s="2">
        <v>184.83</v>
      </c>
      <c r="Y5" s="2">
        <f t="shared" si="5"/>
        <v>9241.5</v>
      </c>
      <c r="AA5">
        <v>81</v>
      </c>
      <c r="AB5" s="2">
        <v>202.97</v>
      </c>
      <c r="AC5" s="2">
        <f t="shared" si="6"/>
        <v>16440.57</v>
      </c>
    </row>
    <row r="6" spans="1:29" ht="12.75">
      <c r="A6" t="s">
        <v>60</v>
      </c>
      <c r="C6">
        <f>15+40</f>
        <v>55</v>
      </c>
      <c r="D6" s="2">
        <v>144</v>
      </c>
      <c r="E6" s="2">
        <f t="shared" si="0"/>
        <v>7920</v>
      </c>
      <c r="G6">
        <f>32+10</f>
        <v>42</v>
      </c>
      <c r="H6" s="2">
        <v>207.92</v>
      </c>
      <c r="I6" s="2">
        <f t="shared" si="1"/>
        <v>8732.64</v>
      </c>
      <c r="K6">
        <v>11</v>
      </c>
      <c r="L6" s="2">
        <v>172.65</v>
      </c>
      <c r="M6" s="2">
        <f t="shared" si="2"/>
        <v>1899.15</v>
      </c>
      <c r="O6">
        <v>4</v>
      </c>
      <c r="P6" s="2">
        <v>171.92</v>
      </c>
      <c r="Q6" s="2">
        <f t="shared" si="3"/>
        <v>687.68</v>
      </c>
      <c r="S6">
        <v>5</v>
      </c>
      <c r="T6" s="2">
        <v>189.55</v>
      </c>
      <c r="U6" s="2">
        <f t="shared" si="4"/>
        <v>947.75</v>
      </c>
      <c r="W6">
        <v>61</v>
      </c>
      <c r="X6" s="2">
        <v>190.29</v>
      </c>
      <c r="Y6" s="2">
        <f t="shared" si="5"/>
        <v>11607.689999999999</v>
      </c>
      <c r="AA6">
        <v>107</v>
      </c>
      <c r="AB6" s="2">
        <v>207.92</v>
      </c>
      <c r="AC6" s="2">
        <f t="shared" si="6"/>
        <v>22247.44</v>
      </c>
    </row>
    <row r="7" spans="1:29" ht="12.75">
      <c r="A7" t="s">
        <v>61</v>
      </c>
      <c r="C7">
        <f>5+6</f>
        <v>11</v>
      </c>
      <c r="D7" s="2">
        <v>115.04</v>
      </c>
      <c r="E7" s="2">
        <f t="shared" si="0"/>
        <v>1265.44</v>
      </c>
      <c r="G7">
        <f>11+1</f>
        <v>12</v>
      </c>
      <c r="H7" s="2">
        <v>170.53</v>
      </c>
      <c r="I7" s="2">
        <f t="shared" si="1"/>
        <v>2046.3600000000001</v>
      </c>
      <c r="K7">
        <v>3</v>
      </c>
      <c r="L7" s="2">
        <v>151.86</v>
      </c>
      <c r="M7" s="2">
        <f t="shared" si="2"/>
        <v>455.58000000000004</v>
      </c>
      <c r="O7">
        <v>0</v>
      </c>
      <c r="P7" s="2">
        <v>150.52</v>
      </c>
      <c r="Q7" s="2">
        <f t="shared" si="3"/>
        <v>0</v>
      </c>
      <c r="S7">
        <v>6</v>
      </c>
      <c r="T7" s="2">
        <v>165.6</v>
      </c>
      <c r="U7" s="2">
        <f t="shared" si="4"/>
        <v>993.5999999999999</v>
      </c>
      <c r="W7">
        <v>24</v>
      </c>
      <c r="X7" s="2">
        <v>166.96</v>
      </c>
      <c r="Y7" s="2">
        <f t="shared" si="5"/>
        <v>4007.04</v>
      </c>
      <c r="AA7">
        <v>27</v>
      </c>
      <c r="AB7" s="2">
        <v>184.71</v>
      </c>
      <c r="AC7" s="2">
        <f t="shared" si="6"/>
        <v>4987.17</v>
      </c>
    </row>
    <row r="8" spans="1:29" ht="12.75">
      <c r="A8" t="s">
        <v>62</v>
      </c>
      <c r="C8">
        <f>7+10</f>
        <v>17</v>
      </c>
      <c r="D8" s="2">
        <v>139.8</v>
      </c>
      <c r="E8" s="2">
        <f t="shared" si="0"/>
        <v>2376.6000000000004</v>
      </c>
      <c r="G8">
        <f>9+8</f>
        <v>17</v>
      </c>
      <c r="H8" s="2">
        <v>200.62</v>
      </c>
      <c r="I8" s="2">
        <f t="shared" si="1"/>
        <v>3410.54</v>
      </c>
      <c r="K8">
        <v>3</v>
      </c>
      <c r="L8" s="2">
        <v>168.23</v>
      </c>
      <c r="M8" s="2">
        <f t="shared" si="2"/>
        <v>504.68999999999994</v>
      </c>
      <c r="O8">
        <v>0</v>
      </c>
      <c r="P8" s="2">
        <v>168.23</v>
      </c>
      <c r="Q8" s="2">
        <f t="shared" si="3"/>
        <v>0</v>
      </c>
      <c r="S8">
        <v>2</v>
      </c>
      <c r="T8" s="2">
        <v>184.82</v>
      </c>
      <c r="U8" s="2">
        <f t="shared" si="4"/>
        <v>369.64</v>
      </c>
      <c r="W8">
        <v>25</v>
      </c>
      <c r="X8" s="2">
        <v>184.82</v>
      </c>
      <c r="Y8" s="2">
        <f t="shared" si="5"/>
        <v>4620.5</v>
      </c>
      <c r="AA8">
        <v>56</v>
      </c>
      <c r="AB8" s="2">
        <v>202.2</v>
      </c>
      <c r="AC8" s="2">
        <f t="shared" si="6"/>
        <v>11323.199999999999</v>
      </c>
    </row>
    <row r="9" spans="1:29" ht="12.75">
      <c r="A9" t="s">
        <v>63</v>
      </c>
      <c r="C9">
        <f>5+8</f>
        <v>13</v>
      </c>
      <c r="D9" s="2">
        <f>+E3*0.8</f>
        <v>135.20000000000002</v>
      </c>
      <c r="E9" s="2">
        <f t="shared" si="0"/>
        <v>1757.6000000000001</v>
      </c>
      <c r="G9">
        <f>9+2</f>
        <v>11</v>
      </c>
      <c r="H9" s="2">
        <f>+I3*0.8</f>
        <v>199.20000000000002</v>
      </c>
      <c r="I9" s="2">
        <f t="shared" si="1"/>
        <v>2191.2000000000003</v>
      </c>
      <c r="K9">
        <v>4</v>
      </c>
      <c r="L9" s="2">
        <f>+M3*0.8</f>
        <v>174.4</v>
      </c>
      <c r="M9" s="2">
        <f t="shared" si="2"/>
        <v>697.6</v>
      </c>
      <c r="O9">
        <v>4</v>
      </c>
      <c r="P9" s="2">
        <f>+Q3*0.8</f>
        <v>175.20000000000002</v>
      </c>
      <c r="Q9" s="2">
        <f t="shared" si="3"/>
        <v>700.8000000000001</v>
      </c>
      <c r="S9">
        <v>3</v>
      </c>
      <c r="T9" s="2">
        <f>+U3*0.8</f>
        <v>199.20000000000002</v>
      </c>
      <c r="U9" s="2">
        <f t="shared" si="4"/>
        <v>597.6</v>
      </c>
      <c r="W9">
        <v>17</v>
      </c>
      <c r="X9" s="2">
        <f>+Y3*0.8</f>
        <v>201.60000000000002</v>
      </c>
      <c r="Y9" s="2">
        <f t="shared" si="5"/>
        <v>3427.2000000000003</v>
      </c>
      <c r="AA9">
        <v>33</v>
      </c>
      <c r="AB9" s="2">
        <f>+AC3*0.8</f>
        <v>222.4</v>
      </c>
      <c r="AC9" s="2">
        <f t="shared" si="6"/>
        <v>7339.2</v>
      </c>
    </row>
    <row r="10" spans="1:29" ht="12.75">
      <c r="A10" t="s">
        <v>64</v>
      </c>
      <c r="C10">
        <f>25+13</f>
        <v>38</v>
      </c>
      <c r="D10" s="2">
        <f>108.09*1.04</f>
        <v>112.4136</v>
      </c>
      <c r="E10" s="2">
        <f t="shared" si="0"/>
        <v>4271.7168</v>
      </c>
      <c r="G10">
        <f>35+4</f>
        <v>39</v>
      </c>
      <c r="H10" s="2">
        <f>156.35*1.04</f>
        <v>162.604</v>
      </c>
      <c r="I10" s="2">
        <f t="shared" si="1"/>
        <v>6341.5560000000005</v>
      </c>
      <c r="K10">
        <v>8</v>
      </c>
      <c r="L10" s="2">
        <f>143.75*1.04</f>
        <v>149.5</v>
      </c>
      <c r="M10" s="2">
        <f t="shared" si="2"/>
        <v>1196</v>
      </c>
      <c r="O10">
        <v>3</v>
      </c>
      <c r="P10" s="2">
        <f>143.15*1.04</f>
        <v>148.876</v>
      </c>
      <c r="Q10" s="2">
        <f t="shared" si="3"/>
        <v>446.62800000000004</v>
      </c>
      <c r="S10">
        <v>2</v>
      </c>
      <c r="T10" s="2">
        <f>157.79*1.04</f>
        <v>164.1016</v>
      </c>
      <c r="U10" s="2">
        <f t="shared" si="4"/>
        <v>328.2032</v>
      </c>
      <c r="W10">
        <v>35</v>
      </c>
      <c r="X10" s="2">
        <f>158.38*1.04</f>
        <v>164.7152</v>
      </c>
      <c r="Y10" s="2">
        <f t="shared" si="5"/>
        <v>5765.032</v>
      </c>
      <c r="AA10">
        <v>54</v>
      </c>
      <c r="AB10" s="2">
        <f>173.27*1.04</f>
        <v>180.20080000000002</v>
      </c>
      <c r="AC10" s="2">
        <f t="shared" si="6"/>
        <v>9730.843200000001</v>
      </c>
    </row>
    <row r="11" spans="1:29" ht="12.75">
      <c r="A11" t="s">
        <v>65</v>
      </c>
      <c r="C11" s="10">
        <f>34+42</f>
        <v>76</v>
      </c>
      <c r="D11" s="2">
        <f>123.2*1.04</f>
        <v>128.12800000000001</v>
      </c>
      <c r="E11" s="16">
        <f t="shared" si="0"/>
        <v>9737.728000000001</v>
      </c>
      <c r="G11" s="10">
        <f>37+16</f>
        <v>53</v>
      </c>
      <c r="H11" s="2">
        <f>178.5*1.04</f>
        <v>185.64000000000001</v>
      </c>
      <c r="I11" s="16">
        <f t="shared" si="1"/>
        <v>9838.92</v>
      </c>
      <c r="K11" s="10">
        <v>14</v>
      </c>
      <c r="L11" s="2">
        <f>163.1*1.04</f>
        <v>169.624</v>
      </c>
      <c r="M11" s="16">
        <f t="shared" si="2"/>
        <v>2374.736</v>
      </c>
      <c r="O11" s="10">
        <v>11</v>
      </c>
      <c r="P11" s="2">
        <f>162.4*1.04</f>
        <v>168.89600000000002</v>
      </c>
      <c r="Q11" s="16">
        <f t="shared" si="3"/>
        <v>1857.8560000000002</v>
      </c>
      <c r="S11" s="10">
        <v>4</v>
      </c>
      <c r="T11" s="2">
        <f>178.5*1.04</f>
        <v>185.64000000000001</v>
      </c>
      <c r="U11" s="16">
        <f t="shared" si="4"/>
        <v>742.5600000000001</v>
      </c>
      <c r="W11">
        <v>75</v>
      </c>
      <c r="X11" s="2">
        <f>179.2*1.04</f>
        <v>186.368</v>
      </c>
      <c r="Y11" s="16">
        <f t="shared" si="5"/>
        <v>13977.6</v>
      </c>
      <c r="AA11">
        <v>108</v>
      </c>
      <c r="AB11" s="2">
        <f>196*1.04</f>
        <v>203.84</v>
      </c>
      <c r="AC11" s="16">
        <f t="shared" si="6"/>
        <v>22014.72</v>
      </c>
    </row>
    <row r="12" spans="3:29" ht="12.75">
      <c r="C12">
        <f>SUM(C4:C11)</f>
        <v>261</v>
      </c>
      <c r="D12" s="2"/>
      <c r="E12" s="2">
        <f>SUM(E3:E11)</f>
        <v>33728.874800000005</v>
      </c>
      <c r="G12">
        <f>SUM(G4:G11)</f>
        <v>227</v>
      </c>
      <c r="H12" s="2"/>
      <c r="I12" s="2">
        <f>SUM(I3:I11)</f>
        <v>42365.416</v>
      </c>
      <c r="K12">
        <f>SUM(K4:K11)</f>
        <v>59</v>
      </c>
      <c r="L12" s="2"/>
      <c r="M12" s="2">
        <f>SUM(M4:M11)</f>
        <v>9869.576000000001</v>
      </c>
      <c r="O12">
        <f>SUM(O4:O11)</f>
        <v>28</v>
      </c>
      <c r="P12" s="2"/>
      <c r="Q12" s="2">
        <f>SUM(Q4:Q11)</f>
        <v>4762.084000000001</v>
      </c>
      <c r="S12">
        <f>SUM(S4:S11)</f>
        <v>31</v>
      </c>
      <c r="T12" s="2"/>
      <c r="U12" s="2">
        <f>SUM(U4:U11)</f>
        <v>5669.6032000000005</v>
      </c>
      <c r="W12">
        <f>SUM(W4:W11)</f>
        <v>298</v>
      </c>
      <c r="X12" s="2"/>
      <c r="Y12" s="2">
        <f>SUM(Y4:Y11)</f>
        <v>54908.82199999999</v>
      </c>
      <c r="AA12">
        <f>SUM(AA4:AA11)</f>
        <v>487</v>
      </c>
      <c r="AB12" s="2"/>
      <c r="AC12" s="2">
        <f>SUM(AC4:AC11)</f>
        <v>98855.81319999999</v>
      </c>
    </row>
    <row r="13" spans="1:29" ht="12.75">
      <c r="A13" t="s">
        <v>80</v>
      </c>
      <c r="E13" s="3">
        <f>+E12/C12</f>
        <v>129.22940536398468</v>
      </c>
      <c r="I13" s="3">
        <f>+I12/G12</f>
        <v>186.6317885462555</v>
      </c>
      <c r="M13" s="3">
        <f>+M12/K12</f>
        <v>167.28094915254238</v>
      </c>
      <c r="Q13" s="3">
        <f>+Q12/O12</f>
        <v>170.0744285714286</v>
      </c>
      <c r="U13" s="3">
        <f>+U12/S12</f>
        <v>182.89042580645162</v>
      </c>
      <c r="X13" s="2"/>
      <c r="Y13" s="3">
        <f>+Y12/W12</f>
        <v>184.2577919463087</v>
      </c>
      <c r="AC13" s="3">
        <f>+AC12/AA12</f>
        <v>202.98934948665297</v>
      </c>
    </row>
    <row r="15" spans="3:28" ht="12.75">
      <c r="C15" s="32">
        <v>99212</v>
      </c>
      <c r="D15" s="32"/>
      <c r="E15" s="13"/>
      <c r="G15" s="32">
        <v>99213</v>
      </c>
      <c r="H15" s="32"/>
      <c r="I15" s="13"/>
      <c r="K15" s="32">
        <v>99214</v>
      </c>
      <c r="L15" s="32"/>
      <c r="M15" s="13"/>
      <c r="O15" s="32">
        <v>92004</v>
      </c>
      <c r="P15" s="32"/>
      <c r="Q15" s="13"/>
      <c r="S15" s="32">
        <v>92014</v>
      </c>
      <c r="T15" s="32"/>
      <c r="U15" s="13"/>
      <c r="W15" s="32">
        <v>92015</v>
      </c>
      <c r="X15" s="32"/>
      <c r="Y15" s="13"/>
      <c r="AA15" s="32">
        <v>80061</v>
      </c>
      <c r="AB15" s="32"/>
    </row>
    <row r="16" spans="3:29" s="11" customFormat="1" ht="12.75">
      <c r="C16" s="11" t="s">
        <v>59</v>
      </c>
      <c r="D16" s="11" t="s">
        <v>66</v>
      </c>
      <c r="E16" s="13">
        <v>111</v>
      </c>
      <c r="G16" s="11" t="s">
        <v>59</v>
      </c>
      <c r="H16" s="11" t="s">
        <v>66</v>
      </c>
      <c r="I16" s="13">
        <v>147</v>
      </c>
      <c r="K16" s="11" t="s">
        <v>59</v>
      </c>
      <c r="L16" s="11" t="s">
        <v>66</v>
      </c>
      <c r="M16" s="13">
        <v>219</v>
      </c>
      <c r="O16" s="11" t="s">
        <v>59</v>
      </c>
      <c r="P16" s="11" t="s">
        <v>66</v>
      </c>
      <c r="Q16" s="13">
        <v>182</v>
      </c>
      <c r="S16" s="11" t="s">
        <v>59</v>
      </c>
      <c r="T16" s="11" t="s">
        <v>66</v>
      </c>
      <c r="U16" s="13">
        <v>143</v>
      </c>
      <c r="W16" s="11" t="s">
        <v>59</v>
      </c>
      <c r="X16" s="11" t="s">
        <v>66</v>
      </c>
      <c r="Y16" s="13">
        <v>25</v>
      </c>
      <c r="AA16" s="11" t="s">
        <v>59</v>
      </c>
      <c r="AB16" s="11" t="s">
        <v>66</v>
      </c>
      <c r="AC16" s="2">
        <v>179</v>
      </c>
    </row>
    <row r="17" spans="1:29" ht="12.75">
      <c r="A17" t="s">
        <v>58</v>
      </c>
      <c r="C17">
        <f>13+6</f>
        <v>19</v>
      </c>
      <c r="D17" s="2">
        <v>81.62</v>
      </c>
      <c r="E17" s="2">
        <f aca="true" t="shared" si="7" ref="E17:E24">+C17*D17</f>
        <v>1550.7800000000002</v>
      </c>
      <c r="G17">
        <f>115+11</f>
        <v>126</v>
      </c>
      <c r="H17" s="2">
        <v>111.23</v>
      </c>
      <c r="I17" s="2">
        <f aca="true" t="shared" si="8" ref="I17:I24">+G17*H17</f>
        <v>14014.980000000001</v>
      </c>
      <c r="K17">
        <f>31+3</f>
        <v>34</v>
      </c>
      <c r="L17" s="2">
        <v>174.45</v>
      </c>
      <c r="M17" s="2">
        <f aca="true" t="shared" si="9" ref="M17:M24">+K17*L17</f>
        <v>5931.299999999999</v>
      </c>
      <c r="O17">
        <v>3</v>
      </c>
      <c r="P17" s="2">
        <v>272.88</v>
      </c>
      <c r="Q17" s="2">
        <f aca="true" t="shared" si="10" ref="Q17:Q24">+O17*P17</f>
        <v>818.64</v>
      </c>
      <c r="S17">
        <v>9</v>
      </c>
      <c r="T17" s="2">
        <v>203.26</v>
      </c>
      <c r="U17" s="2">
        <f aca="true" t="shared" si="11" ref="U17:U24">+S17*T17</f>
        <v>1829.34</v>
      </c>
      <c r="W17">
        <v>11</v>
      </c>
      <c r="X17" s="2">
        <v>150.45</v>
      </c>
      <c r="Y17" s="2">
        <f aca="true" t="shared" si="12" ref="Y17:Y24">+W17*X17</f>
        <v>1654.9499999999998</v>
      </c>
      <c r="AA17">
        <v>9</v>
      </c>
      <c r="AB17" s="2">
        <v>74</v>
      </c>
      <c r="AC17" s="2">
        <f aca="true" t="shared" si="13" ref="AC17:AC24">+AA17*AB17</f>
        <v>666</v>
      </c>
    </row>
    <row r="18" spans="1:29" ht="12.75">
      <c r="A18" t="s">
        <v>57</v>
      </c>
      <c r="C18">
        <f>101+46</f>
        <v>147</v>
      </c>
      <c r="D18" s="2">
        <v>70.68</v>
      </c>
      <c r="E18" s="2">
        <f t="shared" si="7"/>
        <v>10389.960000000001</v>
      </c>
      <c r="G18">
        <f>421+56</f>
        <v>477</v>
      </c>
      <c r="H18" s="2">
        <v>116.81</v>
      </c>
      <c r="I18" s="2">
        <f t="shared" si="8"/>
        <v>55718.37</v>
      </c>
      <c r="K18">
        <f>150+20</f>
        <v>170</v>
      </c>
      <c r="L18" s="2">
        <v>176.01</v>
      </c>
      <c r="M18" s="2">
        <f t="shared" si="9"/>
        <v>29921.699999999997</v>
      </c>
      <c r="O18">
        <v>22</v>
      </c>
      <c r="P18" s="2">
        <v>170.53</v>
      </c>
      <c r="Q18" s="2">
        <f t="shared" si="10"/>
        <v>3751.66</v>
      </c>
      <c r="S18">
        <v>57</v>
      </c>
      <c r="T18" s="2">
        <v>138.56</v>
      </c>
      <c r="U18" s="2">
        <f t="shared" si="11"/>
        <v>7897.92</v>
      </c>
      <c r="W18">
        <v>70</v>
      </c>
      <c r="X18" s="2">
        <v>56.75</v>
      </c>
      <c r="Y18" s="2">
        <f t="shared" si="12"/>
        <v>3972.5</v>
      </c>
      <c r="AA18">
        <v>24</v>
      </c>
      <c r="AB18" s="2">
        <v>47.65</v>
      </c>
      <c r="AC18" s="2">
        <f t="shared" si="13"/>
        <v>1143.6</v>
      </c>
    </row>
    <row r="19" spans="1:29" ht="12.75">
      <c r="A19" t="s">
        <v>60</v>
      </c>
      <c r="C19">
        <f>67+80</f>
        <v>147</v>
      </c>
      <c r="D19" s="2">
        <v>82.29</v>
      </c>
      <c r="E19" s="2">
        <f t="shared" si="7"/>
        <v>12096.630000000001</v>
      </c>
      <c r="G19">
        <f>526+104</f>
        <v>630</v>
      </c>
      <c r="H19" s="2">
        <v>139.59</v>
      </c>
      <c r="I19" s="2">
        <f t="shared" si="8"/>
        <v>87941.7</v>
      </c>
      <c r="K19">
        <f>142+23</f>
        <v>165</v>
      </c>
      <c r="L19" s="2">
        <v>207.19</v>
      </c>
      <c r="M19" s="2">
        <f t="shared" si="9"/>
        <v>34186.35</v>
      </c>
      <c r="O19">
        <v>25</v>
      </c>
      <c r="P19" s="2">
        <v>288</v>
      </c>
      <c r="Q19" s="2">
        <f t="shared" si="10"/>
        <v>7200</v>
      </c>
      <c r="S19">
        <v>97</v>
      </c>
      <c r="T19" s="2">
        <v>238.78</v>
      </c>
      <c r="U19" s="2">
        <f t="shared" si="11"/>
        <v>23161.66</v>
      </c>
      <c r="W19">
        <v>116</v>
      </c>
      <c r="X19" s="2">
        <v>40.41</v>
      </c>
      <c r="Y19" s="2">
        <f t="shared" si="12"/>
        <v>4687.5599999999995</v>
      </c>
      <c r="AA19">
        <v>27</v>
      </c>
      <c r="AB19" s="2"/>
      <c r="AC19" s="2">
        <f t="shared" si="13"/>
        <v>0</v>
      </c>
    </row>
    <row r="20" spans="1:29" ht="12.75">
      <c r="A20" t="s">
        <v>61</v>
      </c>
      <c r="C20">
        <f>43+8</f>
        <v>51</v>
      </c>
      <c r="D20" s="2">
        <v>67.65</v>
      </c>
      <c r="E20" s="2">
        <f t="shared" si="7"/>
        <v>3450.15</v>
      </c>
      <c r="G20">
        <f>118+29</f>
        <v>147</v>
      </c>
      <c r="H20" s="2">
        <v>110.75</v>
      </c>
      <c r="I20" s="2">
        <f t="shared" si="8"/>
        <v>16280.25</v>
      </c>
      <c r="K20">
        <f>36+12</f>
        <v>48</v>
      </c>
      <c r="L20" s="2">
        <v>167.98</v>
      </c>
      <c r="M20" s="2">
        <f t="shared" si="9"/>
        <v>8063.039999999999</v>
      </c>
      <c r="O20">
        <v>5</v>
      </c>
      <c r="P20" s="2">
        <v>225.53</v>
      </c>
      <c r="Q20" s="2">
        <f t="shared" si="10"/>
        <v>1127.65</v>
      </c>
      <c r="S20">
        <v>11</v>
      </c>
      <c r="T20" s="2">
        <v>168.53</v>
      </c>
      <c r="U20" s="2">
        <f t="shared" si="11"/>
        <v>1853.83</v>
      </c>
      <c r="W20">
        <v>14</v>
      </c>
      <c r="X20" s="2">
        <v>102.68</v>
      </c>
      <c r="Y20" s="2">
        <f t="shared" si="12"/>
        <v>1437.52</v>
      </c>
      <c r="AA20">
        <v>33</v>
      </c>
      <c r="AB20" s="2">
        <v>28.08</v>
      </c>
      <c r="AC20" s="2">
        <f t="shared" si="13"/>
        <v>926.64</v>
      </c>
    </row>
    <row r="21" spans="1:29" ht="12.75">
      <c r="A21" t="s">
        <v>62</v>
      </c>
      <c r="C21">
        <f>62+20</f>
        <v>82</v>
      </c>
      <c r="D21" s="2">
        <v>81.85</v>
      </c>
      <c r="E21" s="2">
        <f t="shared" si="7"/>
        <v>6711.7</v>
      </c>
      <c r="G21">
        <f>128+57</f>
        <v>185</v>
      </c>
      <c r="H21" s="2">
        <v>135.06</v>
      </c>
      <c r="I21" s="2">
        <f t="shared" si="8"/>
        <v>24986.100000000002</v>
      </c>
      <c r="K21">
        <f>24+13</f>
        <v>37</v>
      </c>
      <c r="L21" s="2">
        <v>203.78</v>
      </c>
      <c r="M21" s="2">
        <f t="shared" si="9"/>
        <v>7539.86</v>
      </c>
      <c r="O21">
        <v>18</v>
      </c>
      <c r="P21" s="2">
        <v>269.33</v>
      </c>
      <c r="Q21" s="2">
        <f t="shared" si="10"/>
        <v>4847.94</v>
      </c>
      <c r="S21">
        <v>48</v>
      </c>
      <c r="T21" s="2">
        <v>200.62</v>
      </c>
      <c r="U21" s="2">
        <f t="shared" si="11"/>
        <v>9629.76</v>
      </c>
      <c r="W21">
        <v>59</v>
      </c>
      <c r="X21" s="2">
        <v>148.49</v>
      </c>
      <c r="Y21" s="2">
        <f t="shared" si="12"/>
        <v>8760.91</v>
      </c>
      <c r="AA21">
        <v>5</v>
      </c>
      <c r="AB21" s="2"/>
      <c r="AC21" s="2">
        <f t="shared" si="13"/>
        <v>0</v>
      </c>
    </row>
    <row r="22" spans="1:29" ht="12.75">
      <c r="A22" t="s">
        <v>63</v>
      </c>
      <c r="C22">
        <f>17+7</f>
        <v>24</v>
      </c>
      <c r="D22" s="2">
        <f>+E16*0.8</f>
        <v>88.80000000000001</v>
      </c>
      <c r="E22" s="2">
        <f t="shared" si="7"/>
        <v>2131.2000000000003</v>
      </c>
      <c r="G22">
        <f>11+169</f>
        <v>180</v>
      </c>
      <c r="H22" s="2">
        <f>+I16*0.8</f>
        <v>117.60000000000001</v>
      </c>
      <c r="I22" s="2">
        <f t="shared" si="8"/>
        <v>21168</v>
      </c>
      <c r="K22">
        <f>33+6</f>
        <v>39</v>
      </c>
      <c r="L22" s="2">
        <f>+M16*0.8</f>
        <v>175.20000000000002</v>
      </c>
      <c r="M22" s="2">
        <f t="shared" si="9"/>
        <v>6832.800000000001</v>
      </c>
      <c r="O22">
        <v>1</v>
      </c>
      <c r="P22" s="2">
        <f>+Q16*0.8</f>
        <v>145.6</v>
      </c>
      <c r="Q22" s="2">
        <f t="shared" si="10"/>
        <v>145.6</v>
      </c>
      <c r="S22">
        <v>4</v>
      </c>
      <c r="T22" s="2">
        <f>+U16*0.8</f>
        <v>114.4</v>
      </c>
      <c r="U22" s="2">
        <f t="shared" si="11"/>
        <v>457.6</v>
      </c>
      <c r="W22">
        <v>7</v>
      </c>
      <c r="X22" s="2">
        <f>+Y16*0.8</f>
        <v>20</v>
      </c>
      <c r="Y22" s="2">
        <f t="shared" si="12"/>
        <v>140</v>
      </c>
      <c r="AA22">
        <v>2</v>
      </c>
      <c r="AB22" s="2">
        <f>+AC16*0.8</f>
        <v>143.20000000000002</v>
      </c>
      <c r="AC22" s="2">
        <f t="shared" si="13"/>
        <v>286.40000000000003</v>
      </c>
    </row>
    <row r="23" spans="1:29" ht="12.75">
      <c r="A23" t="s">
        <v>64</v>
      </c>
      <c r="C23">
        <f>68+36</f>
        <v>104</v>
      </c>
      <c r="D23" s="2">
        <f>62.89*1.04</f>
        <v>65.4056</v>
      </c>
      <c r="E23" s="2">
        <f t="shared" si="7"/>
        <v>6802.182400000001</v>
      </c>
      <c r="G23">
        <f>217+50</f>
        <v>267</v>
      </c>
      <c r="H23" s="2">
        <f>105.37*1.04</f>
        <v>109.58480000000002</v>
      </c>
      <c r="I23" s="2">
        <f t="shared" si="8"/>
        <v>29259.141600000003</v>
      </c>
      <c r="K23">
        <f>17+57</f>
        <v>74</v>
      </c>
      <c r="L23" s="2">
        <f>158.69*1.04</f>
        <v>165.0376</v>
      </c>
      <c r="M23" s="2">
        <f t="shared" si="9"/>
        <v>12212.7824</v>
      </c>
      <c r="O23">
        <v>14</v>
      </c>
      <c r="P23" s="2">
        <f>217.28*1.04</f>
        <v>225.9712</v>
      </c>
      <c r="Q23" s="2">
        <f t="shared" si="10"/>
        <v>3163.5968000000003</v>
      </c>
      <c r="S23">
        <v>36</v>
      </c>
      <c r="T23" s="2">
        <f>177.28*1.04</f>
        <v>184.37120000000002</v>
      </c>
      <c r="U23" s="2">
        <f t="shared" si="11"/>
        <v>6637.363200000001</v>
      </c>
      <c r="W23">
        <v>46</v>
      </c>
      <c r="X23" s="2">
        <f>53.64*1.04</f>
        <v>55.7856</v>
      </c>
      <c r="Y23" s="2">
        <f t="shared" si="12"/>
        <v>2566.1376</v>
      </c>
      <c r="AA23">
        <v>14</v>
      </c>
      <c r="AB23" s="2">
        <f>11.74*1.04</f>
        <v>12.2096</v>
      </c>
      <c r="AC23" s="2">
        <f t="shared" si="13"/>
        <v>170.9344</v>
      </c>
    </row>
    <row r="24" spans="1:29" ht="12.75">
      <c r="A24" t="s">
        <v>65</v>
      </c>
      <c r="C24" s="10">
        <f>114+51</f>
        <v>165</v>
      </c>
      <c r="D24" s="2">
        <f>72.1*1.04</f>
        <v>74.984</v>
      </c>
      <c r="E24" s="16">
        <f t="shared" si="7"/>
        <v>12372.359999999999</v>
      </c>
      <c r="G24" s="10">
        <f>100+374</f>
        <v>474</v>
      </c>
      <c r="H24" s="2">
        <f>119*1.04</f>
        <v>123.76</v>
      </c>
      <c r="I24" s="16">
        <f t="shared" si="8"/>
        <v>58662.240000000005</v>
      </c>
      <c r="K24" s="10">
        <f>85+27</f>
        <v>112</v>
      </c>
      <c r="L24" s="2">
        <f>179.2*1.04</f>
        <v>186.368</v>
      </c>
      <c r="M24" s="16">
        <f t="shared" si="9"/>
        <v>20873.216</v>
      </c>
      <c r="O24" s="10">
        <v>39</v>
      </c>
      <c r="P24" s="2">
        <f>252*1.04</f>
        <v>262.08</v>
      </c>
      <c r="Q24" s="16">
        <f t="shared" si="10"/>
        <v>10221.119999999999</v>
      </c>
      <c r="S24" s="10">
        <v>106</v>
      </c>
      <c r="T24" s="2">
        <f>205.92*1.04</f>
        <v>214.1568</v>
      </c>
      <c r="U24" s="16">
        <f t="shared" si="11"/>
        <v>22700.6208</v>
      </c>
      <c r="W24" s="10">
        <v>129</v>
      </c>
      <c r="X24" s="2">
        <f>62.64*1.04</f>
        <v>65.1456</v>
      </c>
      <c r="Y24" s="16">
        <f t="shared" si="12"/>
        <v>8403.7824</v>
      </c>
      <c r="AA24" s="10">
        <v>11</v>
      </c>
      <c r="AB24" s="2">
        <f>46.8*1.04</f>
        <v>48.672</v>
      </c>
      <c r="AC24" s="16">
        <f t="shared" si="13"/>
        <v>535.3919999999999</v>
      </c>
    </row>
    <row r="25" spans="3:29" ht="12.75">
      <c r="C25">
        <f>SUM(C17:C24)</f>
        <v>739</v>
      </c>
      <c r="D25" s="2"/>
      <c r="E25" s="2">
        <f>SUM(E17:E24)</f>
        <v>55504.9624</v>
      </c>
      <c r="G25">
        <f>SUM(G17:G24)</f>
        <v>2486</v>
      </c>
      <c r="H25" s="2"/>
      <c r="I25" s="2">
        <f>SUM(I17:I24)</f>
        <v>308030.7816</v>
      </c>
      <c r="K25">
        <f>SUM(K17:K24)</f>
        <v>679</v>
      </c>
      <c r="L25" s="2"/>
      <c r="M25" s="2">
        <f>SUM(M17:M24)</f>
        <v>125561.0484</v>
      </c>
      <c r="O25">
        <f>SUM(O17:O24)</f>
        <v>127</v>
      </c>
      <c r="P25" s="2"/>
      <c r="Q25" s="2">
        <f>SUM(Q17:Q24)</f>
        <v>31276.206799999996</v>
      </c>
      <c r="S25">
        <f>SUM(S17:S24)</f>
        <v>368</v>
      </c>
      <c r="T25" s="2"/>
      <c r="U25" s="2">
        <f>SUM(U17:U24)</f>
        <v>74168.094</v>
      </c>
      <c r="W25">
        <f>SUM(W17:W24)</f>
        <v>452</v>
      </c>
      <c r="X25" s="2"/>
      <c r="Y25" s="2">
        <f>SUM(Y17:Y24)</f>
        <v>31623.359999999997</v>
      </c>
      <c r="AA25">
        <f>SUM(AA17:AA24)</f>
        <v>125</v>
      </c>
      <c r="AB25" s="2"/>
      <c r="AC25" s="2">
        <f>SUM(AC17:AC24)</f>
        <v>3728.9664</v>
      </c>
    </row>
    <row r="26" spans="5:29" ht="12.75">
      <c r="E26" s="3">
        <f>+E25/C25</f>
        <v>75.10820351826793</v>
      </c>
      <c r="I26" s="3">
        <f>+I25/G25</f>
        <v>123.90618728881738</v>
      </c>
      <c r="M26" s="3">
        <f>+M25/K25</f>
        <v>184.92054256259203</v>
      </c>
      <c r="Q26" s="3">
        <f>+Q25/O25</f>
        <v>246.26934488188974</v>
      </c>
      <c r="U26" s="3">
        <f>+U25/S25</f>
        <v>201.54373369565218</v>
      </c>
      <c r="Y26" s="3">
        <f>+Y25/W25</f>
        <v>69.96318584070796</v>
      </c>
      <c r="AC26" s="3">
        <f>+AC25/AA25</f>
        <v>29.8317312</v>
      </c>
    </row>
    <row r="28" spans="3:28" ht="12.75">
      <c r="C28" s="32">
        <v>80053</v>
      </c>
      <c r="D28" s="32"/>
      <c r="E28" s="13"/>
      <c r="G28" s="32">
        <v>83036</v>
      </c>
      <c r="H28" s="32"/>
      <c r="I28" s="13"/>
      <c r="K28" s="32" t="s">
        <v>75</v>
      </c>
      <c r="L28" s="32"/>
      <c r="M28" s="13"/>
      <c r="O28" s="32">
        <v>87880</v>
      </c>
      <c r="P28" s="32"/>
      <c r="Q28" s="13"/>
      <c r="S28" s="32">
        <v>90649</v>
      </c>
      <c r="T28" s="32"/>
      <c r="U28" s="13"/>
      <c r="W28" s="32">
        <v>90715</v>
      </c>
      <c r="X28" s="32"/>
      <c r="Y28" s="13"/>
      <c r="AA28" s="32">
        <v>90471</v>
      </c>
      <c r="AB28" s="32"/>
    </row>
    <row r="29" spans="3:29" s="11" customFormat="1" ht="12.75">
      <c r="C29" s="11" t="s">
        <v>59</v>
      </c>
      <c r="D29" s="11" t="s">
        <v>66</v>
      </c>
      <c r="E29" s="13">
        <v>106</v>
      </c>
      <c r="G29" s="11" t="s">
        <v>59</v>
      </c>
      <c r="H29" s="11" t="s">
        <v>66</v>
      </c>
      <c r="I29" s="14">
        <v>78</v>
      </c>
      <c r="K29" s="11" t="s">
        <v>59</v>
      </c>
      <c r="L29" s="11" t="s">
        <v>66</v>
      </c>
      <c r="M29" s="13">
        <v>110</v>
      </c>
      <c r="O29" s="11" t="s">
        <v>59</v>
      </c>
      <c r="P29" s="11" t="s">
        <v>66</v>
      </c>
      <c r="Q29" s="13">
        <v>71</v>
      </c>
      <c r="S29" s="11" t="s">
        <v>59</v>
      </c>
      <c r="T29" s="11" t="s">
        <v>66</v>
      </c>
      <c r="U29" s="13">
        <v>221</v>
      </c>
      <c r="W29" s="11" t="s">
        <v>59</v>
      </c>
      <c r="X29" s="11" t="s">
        <v>66</v>
      </c>
      <c r="Y29" s="13">
        <v>79</v>
      </c>
      <c r="AA29" s="11" t="s">
        <v>59</v>
      </c>
      <c r="AB29" s="11" t="s">
        <v>66</v>
      </c>
      <c r="AC29" s="2">
        <v>46</v>
      </c>
    </row>
    <row r="30" spans="1:29" ht="12.75">
      <c r="A30" t="s">
        <v>58</v>
      </c>
      <c r="C30">
        <v>3</v>
      </c>
      <c r="D30" s="2">
        <v>36.08</v>
      </c>
      <c r="E30" s="2">
        <f aca="true" t="shared" si="14" ref="E30:E37">+C30*D30</f>
        <v>108.24</v>
      </c>
      <c r="G30">
        <v>4</v>
      </c>
      <c r="H30" s="2">
        <v>33.3</v>
      </c>
      <c r="I30" s="2">
        <f aca="true" t="shared" si="15" ref="I30:I37">+G30*H30</f>
        <v>133.2</v>
      </c>
      <c r="K30">
        <v>8</v>
      </c>
      <c r="L30" s="2">
        <v>52.82</v>
      </c>
      <c r="M30" s="2">
        <f aca="true" t="shared" si="16" ref="M30:M37">+K30*L30</f>
        <v>422.56</v>
      </c>
      <c r="O30">
        <v>10</v>
      </c>
      <c r="P30" s="2">
        <v>40.7</v>
      </c>
      <c r="Q30" s="2">
        <f>+O30*P30</f>
        <v>407</v>
      </c>
      <c r="T30" s="2"/>
      <c r="U30" s="2">
        <f aca="true" t="shared" si="17" ref="U30:U37">+S30*T30</f>
        <v>0</v>
      </c>
      <c r="X30" s="2"/>
      <c r="Y30" s="2">
        <f aca="true" t="shared" si="18" ref="Y30:Y37">+W30*X30</f>
        <v>0</v>
      </c>
      <c r="AA30">
        <v>47</v>
      </c>
      <c r="AB30" s="2">
        <v>39.21</v>
      </c>
      <c r="AC30" s="2">
        <f aca="true" t="shared" si="19" ref="AC30:AC37">+AA30*AB30</f>
        <v>1842.8700000000001</v>
      </c>
    </row>
    <row r="31" spans="1:29" ht="12.75">
      <c r="A31" t="s">
        <v>57</v>
      </c>
      <c r="C31">
        <v>6</v>
      </c>
      <c r="D31" s="2">
        <v>28.15</v>
      </c>
      <c r="E31" s="2">
        <f t="shared" si="14"/>
        <v>168.89999999999998</v>
      </c>
      <c r="G31">
        <v>15</v>
      </c>
      <c r="H31" s="2">
        <v>25.99</v>
      </c>
      <c r="I31" s="2">
        <f t="shared" si="15"/>
        <v>389.84999999999997</v>
      </c>
      <c r="K31">
        <v>19</v>
      </c>
      <c r="L31" s="2">
        <v>42.28</v>
      </c>
      <c r="M31" s="2">
        <f t="shared" si="16"/>
        <v>803.32</v>
      </c>
      <c r="O31">
        <v>48</v>
      </c>
      <c r="P31" s="2">
        <v>31.77</v>
      </c>
      <c r="Q31" s="2">
        <f>+O31*P31</f>
        <v>1524.96</v>
      </c>
      <c r="T31" s="2"/>
      <c r="U31" s="2">
        <f t="shared" si="17"/>
        <v>0</v>
      </c>
      <c r="W31">
        <v>33</v>
      </c>
      <c r="X31" s="2">
        <v>38.99</v>
      </c>
      <c r="Y31" s="2">
        <f t="shared" si="18"/>
        <v>1286.67</v>
      </c>
      <c r="AB31" s="2"/>
      <c r="AC31" s="2">
        <f t="shared" si="19"/>
        <v>0</v>
      </c>
    </row>
    <row r="32" spans="1:29" ht="12.75">
      <c r="A32" t="s">
        <v>60</v>
      </c>
      <c r="C32">
        <v>9</v>
      </c>
      <c r="D32" s="2"/>
      <c r="E32" s="2">
        <f t="shared" si="14"/>
        <v>0</v>
      </c>
      <c r="G32">
        <v>15</v>
      </c>
      <c r="H32" s="2"/>
      <c r="I32" s="2">
        <f t="shared" si="15"/>
        <v>0</v>
      </c>
      <c r="K32">
        <v>35</v>
      </c>
      <c r="L32" s="2">
        <v>33.8</v>
      </c>
      <c r="M32" s="2">
        <f t="shared" si="16"/>
        <v>1183</v>
      </c>
      <c r="P32" s="2"/>
      <c r="T32" s="2"/>
      <c r="U32" s="2">
        <f t="shared" si="17"/>
        <v>0</v>
      </c>
      <c r="X32" s="2"/>
      <c r="Y32" s="2">
        <f t="shared" si="18"/>
        <v>0</v>
      </c>
      <c r="AB32" s="2"/>
      <c r="AC32" s="2">
        <f t="shared" si="19"/>
        <v>0</v>
      </c>
    </row>
    <row r="33" spans="1:29" ht="12.75">
      <c r="A33" t="s">
        <v>61</v>
      </c>
      <c r="C33">
        <v>4</v>
      </c>
      <c r="D33" s="2">
        <v>22.16</v>
      </c>
      <c r="E33" s="2">
        <f t="shared" si="14"/>
        <v>88.64</v>
      </c>
      <c r="G33">
        <v>1</v>
      </c>
      <c r="H33" s="2">
        <v>20.34</v>
      </c>
      <c r="I33" s="2">
        <f t="shared" si="15"/>
        <v>20.34</v>
      </c>
      <c r="K33">
        <v>3</v>
      </c>
      <c r="L33" s="2">
        <v>42.2</v>
      </c>
      <c r="M33" s="2">
        <f t="shared" si="16"/>
        <v>126.60000000000001</v>
      </c>
      <c r="O33">
        <v>7</v>
      </c>
      <c r="P33" s="2">
        <v>25.14</v>
      </c>
      <c r="Q33" s="2">
        <f>+O33*P33</f>
        <v>175.98000000000002</v>
      </c>
      <c r="S33">
        <v>12</v>
      </c>
      <c r="T33" s="2">
        <v>142.35</v>
      </c>
      <c r="U33" s="2">
        <f t="shared" si="17"/>
        <v>1708.1999999999998</v>
      </c>
      <c r="W33">
        <v>8</v>
      </c>
      <c r="X33" s="2">
        <v>36.37</v>
      </c>
      <c r="Y33" s="2">
        <f t="shared" si="18"/>
        <v>290.96</v>
      </c>
      <c r="AA33">
        <v>61</v>
      </c>
      <c r="AB33" s="2">
        <v>20.09</v>
      </c>
      <c r="AC33" s="2">
        <f t="shared" si="19"/>
        <v>1225.49</v>
      </c>
    </row>
    <row r="34" spans="1:29" ht="12.75">
      <c r="A34" t="s">
        <v>62</v>
      </c>
      <c r="C34">
        <v>5</v>
      </c>
      <c r="D34" s="2">
        <v>39.15</v>
      </c>
      <c r="E34" s="2">
        <f t="shared" si="14"/>
        <v>195.75</v>
      </c>
      <c r="G34">
        <v>4</v>
      </c>
      <c r="H34" s="2">
        <v>35.95</v>
      </c>
      <c r="I34" s="2">
        <f t="shared" si="15"/>
        <v>143.8</v>
      </c>
      <c r="K34">
        <v>2</v>
      </c>
      <c r="L34" s="2">
        <v>52.13</v>
      </c>
      <c r="M34" s="2">
        <f t="shared" si="16"/>
        <v>104.26</v>
      </c>
      <c r="O34">
        <v>8</v>
      </c>
      <c r="P34" s="2">
        <v>44.43</v>
      </c>
      <c r="Q34" s="2">
        <f>+O34*P34</f>
        <v>355.44</v>
      </c>
      <c r="T34" s="2"/>
      <c r="U34" s="2">
        <f t="shared" si="17"/>
        <v>0</v>
      </c>
      <c r="X34" s="2"/>
      <c r="Y34" s="2">
        <f t="shared" si="18"/>
        <v>0</v>
      </c>
      <c r="AB34" s="2"/>
      <c r="AC34" s="2">
        <f t="shared" si="19"/>
        <v>0</v>
      </c>
    </row>
    <row r="35" spans="1:29" ht="12.75">
      <c r="A35" t="s">
        <v>63</v>
      </c>
      <c r="C35">
        <v>1</v>
      </c>
      <c r="D35" s="2">
        <f>+E29*0.8</f>
        <v>84.80000000000001</v>
      </c>
      <c r="E35" s="2">
        <f t="shared" si="14"/>
        <v>84.80000000000001</v>
      </c>
      <c r="G35">
        <v>0</v>
      </c>
      <c r="H35" s="2">
        <f>+I29*0.8</f>
        <v>62.400000000000006</v>
      </c>
      <c r="I35" s="2">
        <f t="shared" si="15"/>
        <v>0</v>
      </c>
      <c r="K35">
        <v>16</v>
      </c>
      <c r="L35" s="2">
        <f>+M29*0.8</f>
        <v>88</v>
      </c>
      <c r="M35" s="2">
        <f t="shared" si="16"/>
        <v>1408</v>
      </c>
      <c r="O35">
        <v>33</v>
      </c>
      <c r="P35" s="2">
        <f>+Q29*0.8</f>
        <v>56.800000000000004</v>
      </c>
      <c r="Q35" s="2">
        <f>+O35*P35</f>
        <v>1874.4</v>
      </c>
      <c r="S35">
        <v>4</v>
      </c>
      <c r="T35" s="2">
        <f>+U29*0.8</f>
        <v>176.8</v>
      </c>
      <c r="U35" s="2">
        <f t="shared" si="17"/>
        <v>707.2</v>
      </c>
      <c r="W35">
        <v>6</v>
      </c>
      <c r="X35" s="2">
        <f>+Y29*0.8</f>
        <v>63.2</v>
      </c>
      <c r="Y35" s="2">
        <f t="shared" si="18"/>
        <v>379.20000000000005</v>
      </c>
      <c r="AA35">
        <v>74</v>
      </c>
      <c r="AB35" s="2">
        <f>+AC29*0.8</f>
        <v>36.800000000000004</v>
      </c>
      <c r="AC35" s="2">
        <f t="shared" si="19"/>
        <v>2723.2000000000003</v>
      </c>
    </row>
    <row r="36" spans="1:29" ht="12.75">
      <c r="A36" t="s">
        <v>64</v>
      </c>
      <c r="C36">
        <v>7</v>
      </c>
      <c r="D36" s="2">
        <f>9.26*1.04</f>
        <v>9.6304</v>
      </c>
      <c r="E36" s="2">
        <f t="shared" si="14"/>
        <v>67.4128</v>
      </c>
      <c r="G36">
        <v>5</v>
      </c>
      <c r="H36" s="2">
        <f>8.5*1.04</f>
        <v>8.84</v>
      </c>
      <c r="I36" s="2">
        <f t="shared" si="15"/>
        <v>44.2</v>
      </c>
      <c r="K36">
        <v>9</v>
      </c>
      <c r="L36" s="2">
        <f>23.65*1.04</f>
        <v>24.596</v>
      </c>
      <c r="M36" s="2">
        <f t="shared" si="16"/>
        <v>221.364</v>
      </c>
      <c r="O36">
        <v>23</v>
      </c>
      <c r="P36" s="2">
        <f>17.52*1.04</f>
        <v>18.2208</v>
      </c>
      <c r="Q36" s="2">
        <f>+O36*P36</f>
        <v>419.0784</v>
      </c>
      <c r="S36">
        <v>7</v>
      </c>
      <c r="T36" s="2">
        <f>156.89*1.04</f>
        <v>163.16559999999998</v>
      </c>
      <c r="U36" s="2">
        <f t="shared" si="17"/>
        <v>1142.1591999999998</v>
      </c>
      <c r="W36">
        <v>26</v>
      </c>
      <c r="X36" s="2">
        <f>44.54*1.04</f>
        <v>46.321600000000004</v>
      </c>
      <c r="Y36" s="2">
        <f t="shared" si="18"/>
        <v>1204.3616000000002</v>
      </c>
      <c r="AA36">
        <v>110</v>
      </c>
      <c r="AB36" s="2">
        <f>35.23*1.04</f>
        <v>36.639199999999995</v>
      </c>
      <c r="AC36" s="2">
        <f t="shared" si="19"/>
        <v>4030.3119999999994</v>
      </c>
    </row>
    <row r="37" spans="1:29" ht="12.75">
      <c r="A37" t="s">
        <v>65</v>
      </c>
      <c r="C37" s="10">
        <v>7</v>
      </c>
      <c r="D37" s="2">
        <f>29.52*1.04</f>
        <v>30.7008</v>
      </c>
      <c r="E37" s="16">
        <f t="shared" si="14"/>
        <v>214.9056</v>
      </c>
      <c r="G37" s="10">
        <v>4</v>
      </c>
      <c r="H37" s="2">
        <f>27.36*1.04</f>
        <v>28.4544</v>
      </c>
      <c r="I37" s="16">
        <f t="shared" si="15"/>
        <v>113.8176</v>
      </c>
      <c r="K37" s="10">
        <v>21</v>
      </c>
      <c r="L37" s="2">
        <f>41.04*1.04</f>
        <v>42.6816</v>
      </c>
      <c r="M37" s="16">
        <f t="shared" si="16"/>
        <v>896.3136000000001</v>
      </c>
      <c r="O37" s="10">
        <v>40</v>
      </c>
      <c r="P37" s="2">
        <f>33.12*1.04</f>
        <v>34.4448</v>
      </c>
      <c r="Q37" s="16">
        <f>+O37*P37</f>
        <v>1377.792</v>
      </c>
      <c r="S37" s="10">
        <v>19</v>
      </c>
      <c r="T37" s="2">
        <f>182.88*1.04</f>
        <v>190.1952</v>
      </c>
      <c r="U37" s="16">
        <f t="shared" si="17"/>
        <v>3613.7088</v>
      </c>
      <c r="W37" s="10">
        <v>31</v>
      </c>
      <c r="X37" s="2">
        <f>69.12*1.04</f>
        <v>71.88480000000001</v>
      </c>
      <c r="Y37" s="16">
        <f t="shared" si="18"/>
        <v>2228.4288000000006</v>
      </c>
      <c r="AA37" s="10">
        <v>195</v>
      </c>
      <c r="AB37" s="2">
        <f>41.76*1.04</f>
        <v>43.4304</v>
      </c>
      <c r="AC37" s="16">
        <f t="shared" si="19"/>
        <v>8468.928</v>
      </c>
    </row>
    <row r="38" spans="3:29" ht="12.75">
      <c r="C38">
        <f>SUM(C30:C37)</f>
        <v>42</v>
      </c>
      <c r="D38" s="2"/>
      <c r="E38" s="2">
        <f>SUM(E30:E37)</f>
        <v>928.6484</v>
      </c>
      <c r="G38">
        <f>SUM(G30:G37)</f>
        <v>48</v>
      </c>
      <c r="H38" s="2"/>
      <c r="I38" s="2">
        <f>SUM(I30:I37)</f>
        <v>845.2076000000001</v>
      </c>
      <c r="K38">
        <f>SUM(K30:K37)</f>
        <v>113</v>
      </c>
      <c r="L38" s="2"/>
      <c r="M38" s="2">
        <f>SUM(M30:M37)</f>
        <v>5165.417600000001</v>
      </c>
      <c r="O38">
        <f>SUM(O30:O37)</f>
        <v>169</v>
      </c>
      <c r="P38" s="2"/>
      <c r="Q38" s="2">
        <f>SUM(Q30:Q37)</f>
        <v>6134.6504</v>
      </c>
      <c r="S38">
        <f>SUM(S30:S37)</f>
        <v>42</v>
      </c>
      <c r="T38" s="2"/>
      <c r="U38" s="2">
        <f>SUM(U30:U37)</f>
        <v>7171.268</v>
      </c>
      <c r="W38">
        <f>SUM(W30:W37)</f>
        <v>104</v>
      </c>
      <c r="X38" s="2"/>
      <c r="Y38" s="2">
        <f>SUM(Y30:Y37)</f>
        <v>5389.620400000001</v>
      </c>
      <c r="AA38">
        <f>SUM(AA30:AA37)</f>
        <v>487</v>
      </c>
      <c r="AC38" s="2">
        <f>SUM(AC30:AC37)</f>
        <v>18290.8</v>
      </c>
    </row>
    <row r="39" spans="5:29" ht="12.75">
      <c r="E39" s="3">
        <f>+E38/C38</f>
        <v>22.11067619047619</v>
      </c>
      <c r="I39" s="3">
        <f>+I38/G38</f>
        <v>17.60849166666667</v>
      </c>
      <c r="M39" s="3">
        <f>+M38/K38</f>
        <v>45.71166017699116</v>
      </c>
      <c r="Q39" s="3">
        <f>+Q38/O38</f>
        <v>36.299706508875744</v>
      </c>
      <c r="U39" s="3">
        <f>+U38/S38</f>
        <v>170.74447619047618</v>
      </c>
      <c r="Y39" s="3">
        <f>+Y38/W38</f>
        <v>51.82327307692309</v>
      </c>
      <c r="AC39" s="3">
        <f>+AC38/AA38</f>
        <v>37.558110882956875</v>
      </c>
    </row>
    <row r="42" spans="3:28" ht="12.75">
      <c r="C42" s="32">
        <v>94640</v>
      </c>
      <c r="D42" s="32"/>
      <c r="E42" s="13"/>
      <c r="G42" s="32">
        <v>58300</v>
      </c>
      <c r="H42" s="32"/>
      <c r="I42" s="13"/>
      <c r="K42" s="32">
        <v>76830</v>
      </c>
      <c r="L42" s="32"/>
      <c r="M42" s="13"/>
      <c r="O42" s="32"/>
      <c r="P42" s="32"/>
      <c r="Q42" s="13"/>
      <c r="S42" s="32"/>
      <c r="T42" s="32"/>
      <c r="U42" s="13"/>
      <c r="W42" s="32"/>
      <c r="X42" s="32"/>
      <c r="Y42" s="13"/>
      <c r="AA42" s="32"/>
      <c r="AB42" s="32"/>
    </row>
    <row r="43" spans="3:29" s="11" customFormat="1" ht="12.75">
      <c r="C43" s="11" t="s">
        <v>59</v>
      </c>
      <c r="D43" s="11" t="s">
        <v>66</v>
      </c>
      <c r="E43" s="15">
        <v>63</v>
      </c>
      <c r="G43" s="11" t="s">
        <v>59</v>
      </c>
      <c r="H43" s="11" t="s">
        <v>66</v>
      </c>
      <c r="I43" s="15">
        <v>446</v>
      </c>
      <c r="K43" s="11" t="s">
        <v>59</v>
      </c>
      <c r="L43" s="11" t="s">
        <v>66</v>
      </c>
      <c r="M43" s="15">
        <v>588</v>
      </c>
      <c r="Q43" s="14"/>
      <c r="U43" s="14"/>
      <c r="Y43" s="14"/>
      <c r="AC43" s="14"/>
    </row>
    <row r="44" spans="1:28" ht="12.75">
      <c r="A44" t="s">
        <v>58</v>
      </c>
      <c r="C44">
        <v>2</v>
      </c>
      <c r="D44" s="2">
        <v>25.61</v>
      </c>
      <c r="E44" s="2">
        <f aca="true" t="shared" si="20" ref="E44:E51">+C44*D44</f>
        <v>51.22</v>
      </c>
      <c r="G44">
        <v>0</v>
      </c>
      <c r="H44" s="2">
        <v>204.06</v>
      </c>
      <c r="I44" s="2">
        <f aca="true" t="shared" si="21" ref="I44:I51">+G44*H44</f>
        <v>0</v>
      </c>
      <c r="K44">
        <v>2</v>
      </c>
      <c r="L44" s="2">
        <v>76.02</v>
      </c>
      <c r="M44" s="2">
        <f aca="true" t="shared" si="22" ref="M44:M51">+K44*L44</f>
        <v>152.04</v>
      </c>
      <c r="P44" s="2"/>
      <c r="T44" s="2"/>
      <c r="X44" s="2"/>
      <c r="AB44" s="2"/>
    </row>
    <row r="45" spans="1:28" ht="12.75">
      <c r="A45" t="s">
        <v>57</v>
      </c>
      <c r="C45">
        <v>6</v>
      </c>
      <c r="D45" s="2">
        <v>15.29</v>
      </c>
      <c r="E45" s="2">
        <f t="shared" si="20"/>
        <v>91.74</v>
      </c>
      <c r="G45">
        <v>4</v>
      </c>
      <c r="H45" s="2">
        <v>175.1</v>
      </c>
      <c r="I45" s="2">
        <f t="shared" si="21"/>
        <v>700.4</v>
      </c>
      <c r="K45">
        <v>2</v>
      </c>
      <c r="L45" s="2">
        <v>223.32</v>
      </c>
      <c r="M45" s="2">
        <f t="shared" si="22"/>
        <v>446.64</v>
      </c>
      <c r="P45" s="2"/>
      <c r="T45" s="2"/>
      <c r="X45" s="2"/>
      <c r="AB45" s="2"/>
    </row>
    <row r="46" spans="1:28" ht="12.75">
      <c r="A46" t="s">
        <v>60</v>
      </c>
      <c r="C46">
        <v>4</v>
      </c>
      <c r="D46" s="2">
        <v>30.86</v>
      </c>
      <c r="E46" s="2">
        <f t="shared" si="20"/>
        <v>123.44</v>
      </c>
      <c r="G46">
        <v>5</v>
      </c>
      <c r="H46" s="2">
        <v>135.92</v>
      </c>
      <c r="I46" s="2">
        <f t="shared" si="21"/>
        <v>679.5999999999999</v>
      </c>
      <c r="L46" s="2"/>
      <c r="M46" s="2">
        <f t="shared" si="22"/>
        <v>0</v>
      </c>
      <c r="P46" s="2"/>
      <c r="T46" s="2"/>
      <c r="X46" s="2"/>
      <c r="AB46" s="2"/>
    </row>
    <row r="47" spans="1:28" ht="12.75">
      <c r="A47" t="s">
        <v>61</v>
      </c>
      <c r="C47">
        <v>4</v>
      </c>
      <c r="D47" s="2">
        <v>22.8</v>
      </c>
      <c r="E47" s="2">
        <f t="shared" si="20"/>
        <v>91.2</v>
      </c>
      <c r="G47">
        <v>2</v>
      </c>
      <c r="H47" s="2">
        <v>156.29</v>
      </c>
      <c r="I47" s="2">
        <f t="shared" si="21"/>
        <v>312.58</v>
      </c>
      <c r="K47">
        <v>1</v>
      </c>
      <c r="L47" s="2">
        <v>186.26</v>
      </c>
      <c r="M47" s="2">
        <f t="shared" si="22"/>
        <v>186.26</v>
      </c>
      <c r="P47" s="2"/>
      <c r="T47" s="2"/>
      <c r="X47" s="2"/>
      <c r="AB47" s="2"/>
    </row>
    <row r="48" spans="1:28" ht="12.75">
      <c r="A48" t="s">
        <v>62</v>
      </c>
      <c r="C48">
        <v>7</v>
      </c>
      <c r="D48" s="2">
        <v>25.27</v>
      </c>
      <c r="E48" s="2">
        <f t="shared" si="20"/>
        <v>176.89</v>
      </c>
      <c r="G48">
        <v>2</v>
      </c>
      <c r="H48" s="2">
        <v>201.41</v>
      </c>
      <c r="I48" s="2">
        <f t="shared" si="21"/>
        <v>402.82</v>
      </c>
      <c r="L48" s="2"/>
      <c r="M48" s="2">
        <f t="shared" si="22"/>
        <v>0</v>
      </c>
      <c r="P48" s="2"/>
      <c r="T48" s="2"/>
      <c r="X48" s="2"/>
      <c r="AB48" s="2"/>
    </row>
    <row r="49" spans="1:28" ht="12.75">
      <c r="A49" t="s">
        <v>63</v>
      </c>
      <c r="C49">
        <v>7</v>
      </c>
      <c r="D49" s="2">
        <f>+E43*0.8</f>
        <v>50.400000000000006</v>
      </c>
      <c r="E49" s="2">
        <f t="shared" si="20"/>
        <v>352.80000000000007</v>
      </c>
      <c r="G49">
        <v>1</v>
      </c>
      <c r="H49" s="2">
        <f>+I43*0.8</f>
        <v>356.8</v>
      </c>
      <c r="I49" s="2">
        <f t="shared" si="21"/>
        <v>356.8</v>
      </c>
      <c r="L49" s="2"/>
      <c r="M49" s="2">
        <f t="shared" si="22"/>
        <v>0</v>
      </c>
      <c r="P49" s="2"/>
      <c r="T49" s="2"/>
      <c r="X49" s="2"/>
      <c r="AB49" s="2"/>
    </row>
    <row r="50" spans="1:28" ht="12.75">
      <c r="A50" t="s">
        <v>64</v>
      </c>
      <c r="C50">
        <v>1</v>
      </c>
      <c r="D50" s="2">
        <f>21.46*1.04</f>
        <v>22.3184</v>
      </c>
      <c r="E50" s="2">
        <f t="shared" si="20"/>
        <v>22.3184</v>
      </c>
      <c r="G50">
        <v>4</v>
      </c>
      <c r="H50" s="2">
        <f>124.96*1.04</f>
        <v>129.9584</v>
      </c>
      <c r="I50" s="2">
        <f t="shared" si="21"/>
        <v>519.8336</v>
      </c>
      <c r="K50">
        <v>1</v>
      </c>
      <c r="L50" s="2">
        <f>142.36*1.04</f>
        <v>148.05440000000002</v>
      </c>
      <c r="M50" s="2">
        <f t="shared" si="22"/>
        <v>148.05440000000002</v>
      </c>
      <c r="P50" s="2"/>
      <c r="T50" s="2"/>
      <c r="X50" s="2"/>
      <c r="AB50" s="2"/>
    </row>
    <row r="51" spans="1:28" ht="12.75">
      <c r="A51" t="s">
        <v>65</v>
      </c>
      <c r="C51" s="10">
        <v>1</v>
      </c>
      <c r="D51" s="2">
        <f>26.64*1.04</f>
        <v>27.7056</v>
      </c>
      <c r="E51" s="16">
        <f t="shared" si="20"/>
        <v>27.7056</v>
      </c>
      <c r="G51" s="10">
        <v>11</v>
      </c>
      <c r="H51" s="2">
        <f>149.04*1.04</f>
        <v>155.0016</v>
      </c>
      <c r="I51" s="16">
        <f t="shared" si="21"/>
        <v>1705.0176</v>
      </c>
      <c r="K51" s="10">
        <v>0</v>
      </c>
      <c r="L51" s="2">
        <f>238.32*1.04</f>
        <v>247.8528</v>
      </c>
      <c r="M51" s="16">
        <f t="shared" si="22"/>
        <v>0</v>
      </c>
      <c r="O51" s="10"/>
      <c r="P51" s="2"/>
      <c r="S51" s="10"/>
      <c r="T51" s="2"/>
      <c r="W51" s="10"/>
      <c r="X51" s="2"/>
      <c r="AA51" s="10"/>
      <c r="AB51" s="2"/>
    </row>
    <row r="52" spans="3:24" ht="12.75">
      <c r="C52">
        <f>SUM(C44:C51)</f>
        <v>32</v>
      </c>
      <c r="D52" s="2"/>
      <c r="E52" s="2">
        <f>SUM(E44:E51)</f>
        <v>937.3140000000001</v>
      </c>
      <c r="G52">
        <f>SUM(G44:G51)</f>
        <v>29</v>
      </c>
      <c r="H52" s="2"/>
      <c r="I52" s="2">
        <f>SUM(I44:I51)</f>
        <v>4677.0512</v>
      </c>
      <c r="K52">
        <f>SUM(K44:K51)</f>
        <v>6</v>
      </c>
      <c r="L52" s="2"/>
      <c r="M52" s="2">
        <f>SUM(M44:M51)</f>
        <v>932.9943999999999</v>
      </c>
      <c r="P52" s="2"/>
      <c r="T52" s="2"/>
      <c r="X52" s="2"/>
    </row>
    <row r="53" spans="5:13" ht="12.75">
      <c r="E53" s="3">
        <f>+E52/C52</f>
        <v>29.291062500000002</v>
      </c>
      <c r="I53" s="3">
        <f>+I52/G52</f>
        <v>161.2776275862069</v>
      </c>
      <c r="M53" s="3">
        <f>+M52/K52</f>
        <v>155.49906666666666</v>
      </c>
    </row>
  </sheetData>
  <mergeCells count="28">
    <mergeCell ref="S28:T28"/>
    <mergeCell ref="W28:X28"/>
    <mergeCell ref="AA28:AB28"/>
    <mergeCell ref="C42:D42"/>
    <mergeCell ref="G42:H42"/>
    <mergeCell ref="K42:L42"/>
    <mergeCell ref="O42:P42"/>
    <mergeCell ref="S42:T42"/>
    <mergeCell ref="W42:X42"/>
    <mergeCell ref="AA42:AB42"/>
    <mergeCell ref="C28:D28"/>
    <mergeCell ref="G28:H28"/>
    <mergeCell ref="K28:L28"/>
    <mergeCell ref="O28:P28"/>
    <mergeCell ref="S2:T2"/>
    <mergeCell ref="W2:X2"/>
    <mergeCell ref="AA2:AB2"/>
    <mergeCell ref="C15:D15"/>
    <mergeCell ref="G15:H15"/>
    <mergeCell ref="K15:L15"/>
    <mergeCell ref="O15:P15"/>
    <mergeCell ref="S15:T15"/>
    <mergeCell ref="W15:X15"/>
    <mergeCell ref="AA15:AB15"/>
    <mergeCell ref="C2:D2"/>
    <mergeCell ref="G2:H2"/>
    <mergeCell ref="K2:L2"/>
    <mergeCell ref="O2:P2"/>
  </mergeCells>
  <printOptions/>
  <pageMargins left="0.75" right="0.75" top="1" bottom="1" header="0.5" footer="0.5"/>
  <pageSetup horizontalDpi="90" verticalDpi="90" orientation="portrait" r:id="rId1"/>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IV16384"/>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Watertown Regional Medical Center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bkemmer</dc:creator>
  <cp:keywords/>
  <dc:description/>
  <cp:lastModifiedBy>ahayden</cp:lastModifiedBy>
  <cp:lastPrinted>2011-03-11T21:59:18Z</cp:lastPrinted>
  <dcterms:created xsi:type="dcterms:W3CDTF">2011-03-01T01:45:36Z</dcterms:created>
  <dcterms:modified xsi:type="dcterms:W3CDTF">2012-03-13T20:29:53Z</dcterms:modified>
  <cp:category/>
  <cp:version/>
  <cp:contentType/>
  <cp:contentStatus/>
</cp:coreProperties>
</file>